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Sheet1" sheetId="1" r:id="rId1"/>
  </sheets>
  <definedNames>
    <definedName name="_xlnm._FilterDatabase" localSheetId="0" hidden="1">Sheet1!$A$1:$E$3509</definedName>
  </definedNames>
  <calcPr calcId="145621"/>
</workbook>
</file>

<file path=xl/calcChain.xml><?xml version="1.0" encoding="utf-8"?>
<calcChain xmlns="http://schemas.openxmlformats.org/spreadsheetml/2006/main">
  <c r="D3509" i="1" l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<sst xmlns="http://schemas.openxmlformats.org/spreadsheetml/2006/main" count="10529" uniqueCount="810">
  <si>
    <t>Район</t>
  </si>
  <si>
    <t>Дом</t>
  </si>
  <si>
    <t>Квартира</t>
  </si>
  <si>
    <t>Код плательщика</t>
  </si>
  <si>
    <t>Долг на сегодня</t>
  </si>
  <si>
    <t>Таганский</t>
  </si>
  <si>
    <t>Абельмановская ул., дом. 3</t>
  </si>
  <si>
    <t>21</t>
  </si>
  <si>
    <t>2</t>
  </si>
  <si>
    <t>6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</si>
  <si>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</si>
  <si>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</si>
  <si>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</si>
  <si>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</si>
  <si>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</si>
  <si>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</si>
  <si>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</si>
  <si>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</si>
  <si>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</si>
  <si>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</si>
  <si>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</si>
  <si>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</si>
  <si>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</si>
  <si>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</si>
  <si>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</si>
  <si>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</si>
  <si>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</si>
  <si>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</si>
  <si>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</si>
  <si>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</si>
  <si>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3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</si>
  <si>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</si>
  <si>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</si>
  <si>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</si>
  <si>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</si>
  <si>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</si>
  <si>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</si>
  <si>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</si>
  <si>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</si>
  <si>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</si>
  <si>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</si>
  <si>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</si>
  <si>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</si>
  <si>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</si>
  <si>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</si>
  <si>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</si>
  <si>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</si>
  <si>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</si>
  <si>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</si>
  <si>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</si>
  <si>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</si>
  <si>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</si>
  <si>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</si>
  <si>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</si>
  <si>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</si>
  <si>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</si>
  <si>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</si>
  <si>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</si>
  <si>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</si>
  <si>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</si>
  <si>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</si>
  <si>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</si>
  <si>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</si>
  <si>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</si>
  <si>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</si>
  <si>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</si>
  <si>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</si>
  <si>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283</t>
  </si>
  <si>
    <t>284</t>
  </si>
  <si>
    <t>285</t>
  </si>
  <si>
    <t>286</t>
  </si>
  <si>
    <t>Абельмановская ул., дом. 5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</si>
  <si>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</si>
  <si>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</si>
  <si>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</si>
  <si>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</si>
  <si>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</si>
  <si>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</si>
  <si>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</si>
  <si>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</si>
  <si>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</si>
  <si>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</si>
  <si>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</si>
  <si>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</si>
  <si>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</si>
  <si>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</si>
  <si>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</si>
  <si>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</si>
  <si>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</si>
  <si>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7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</si>
  <si>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</si>
  <si>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</si>
  <si>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</si>
  <si>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</si>
  <si>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</si>
  <si>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</si>
  <si>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</si>
  <si>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</si>
  <si>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</si>
  <si>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</si>
  <si>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</si>
  <si>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</si>
  <si>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</si>
  <si>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</si>
  <si>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113</t>
  </si>
  <si>
    <t>8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</si>
  <si>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</si>
  <si>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</si>
  <si>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</si>
  <si>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</si>
  <si>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</si>
  <si>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</si>
  <si>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</si>
  <si>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</si>
  <si>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</si>
  <si>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</si>
  <si>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</si>
  <si>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287</t>
  </si>
  <si>
    <t>289</t>
  </si>
  <si>
    <t>289A</t>
  </si>
  <si>
    <t>290</t>
  </si>
  <si>
    <t>291</t>
  </si>
  <si>
    <t>292</t>
  </si>
  <si>
    <t>293</t>
  </si>
  <si>
    <t>294</t>
  </si>
  <si>
    <t>294A</t>
  </si>
  <si>
    <t>295</t>
  </si>
  <si>
    <t>296</t>
  </si>
  <si>
    <t>297</t>
  </si>
  <si>
    <t>Абельмановская ул., дом. 6</t>
  </si>
  <si>
    <t>4</t>
  </si>
  <si>
    <t>5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</si>
  <si>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</si>
  <si>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</si>
  <si>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</si>
  <si>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</si>
  <si>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</si>
  <si>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</si>
  <si>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</si>
  <si>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</si>
  <si>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</si>
  <si>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</si>
  <si>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</si>
  <si>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</si>
  <si>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94</t>
  </si>
  <si>
    <t>109</t>
  </si>
  <si>
    <t>110</t>
  </si>
  <si>
    <t>111</t>
  </si>
  <si>
    <t>112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</si>
  <si>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</si>
  <si>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</si>
  <si>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</si>
  <si>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</si>
  <si>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</si>
  <si>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</si>
  <si>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</si>
  <si>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</si>
  <si>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</si>
  <si>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</si>
  <si>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</si>
  <si>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</si>
  <si>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</si>
  <si>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</si>
  <si>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</si>
  <si>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</si>
  <si>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</si>
  <si>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</si>
  <si>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</si>
  <si>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</si>
  <si>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</si>
  <si>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</si>
  <si>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</si>
  <si>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</si>
  <si>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</si>
  <si>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</si>
  <si>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</si>
  <si>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</si>
  <si>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</si>
  <si>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</si>
  <si>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</si>
  <si>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</si>
  <si>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</si>
  <si>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</si>
  <si>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</si>
  <si>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</si>
  <si>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</si>
  <si>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</si>
  <si>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</si>
  <si>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</si>
  <si>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</si>
  <si>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</si>
  <si>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</si>
  <si>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</si>
  <si>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</si>
  <si>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</si>
  <si>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</si>
  <si>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</si>
  <si>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</si>
  <si>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</si>
  <si>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</si>
  <si>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</si>
  <si>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</si>
  <si>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</si>
  <si>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</si>
  <si>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</si>
  <si>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Абельмановская ул., дом. 7</t>
  </si>
  <si>
    <t>Абельмановская ул., дом. 11</t>
  </si>
  <si>
    <t>Андроньевская Б. ул., дом. 11/13</t>
  </si>
  <si>
    <t>Андроньевская Б. ул., дом. 20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</si>
  <si>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</si>
  <si>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</si>
  <si>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</si>
  <si>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</si>
  <si>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</si>
  <si>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</si>
  <si>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</si>
  <si>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</si>
  <si>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</si>
  <si>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</si>
  <si>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</si>
  <si>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</si>
  <si>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</si>
  <si>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</si>
  <si>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</si>
  <si>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</si>
  <si>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</si>
  <si>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</si>
  <si>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</si>
  <si>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</si>
  <si>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</si>
  <si>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</si>
  <si>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</si>
  <si>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</si>
  <si>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</si>
  <si>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</si>
  <si>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</si>
  <si>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</si>
  <si>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</si>
  <si>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</si>
  <si>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</si>
  <si>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</si>
  <si>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</si>
  <si>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</si>
  <si>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</si>
  <si>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</si>
  <si>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</si>
  <si>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</si>
  <si>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</si>
  <si>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</si>
  <si>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</si>
  <si>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</si>
  <si>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</si>
  <si>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</si>
  <si>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</si>
  <si>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</si>
  <si>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</si>
  <si>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</si>
  <si>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</si>
  <si>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</si>
  <si>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</si>
  <si>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</si>
  <si>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</si>
  <si>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</si>
  <si>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</si>
  <si>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238</t>
  </si>
  <si>
    <t>239</t>
  </si>
  <si>
    <t>240</t>
  </si>
  <si>
    <t>241</t>
  </si>
  <si>
    <t>242</t>
  </si>
  <si>
    <t>243</t>
  </si>
  <si>
    <t>244</t>
  </si>
  <si>
    <t>246</t>
  </si>
  <si>
    <t>249</t>
  </si>
  <si>
    <t>250</t>
  </si>
  <si>
    <t>252</t>
  </si>
  <si>
    <t>253</t>
  </si>
  <si>
    <t>254</t>
  </si>
  <si>
    <t>255</t>
  </si>
  <si>
    <t>256</t>
  </si>
  <si>
    <t>257</t>
  </si>
  <si>
    <t>259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</si>
  <si>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</si>
  <si>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</si>
  <si>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</si>
  <si>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</si>
  <si>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</si>
  <si>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</si>
  <si>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</si>
  <si>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</si>
  <si>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</si>
  <si>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</si>
  <si>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</si>
  <si>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</si>
  <si>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</si>
  <si>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</si>
  <si>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</si>
  <si>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277</t>
  </si>
  <si>
    <t>278</t>
  </si>
  <si>
    <t>279</t>
  </si>
  <si>
    <t>281</t>
  </si>
  <si>
    <t>282</t>
  </si>
  <si>
    <t>298</t>
  </si>
  <si>
    <t>299</t>
  </si>
  <si>
    <t>300</t>
  </si>
  <si>
    <t>301</t>
  </si>
  <si>
    <t>302</t>
  </si>
  <si>
    <t>304</t>
  </si>
  <si>
    <t>305</t>
  </si>
  <si>
    <t>306</t>
  </si>
  <si>
    <t>307</t>
  </si>
  <si>
    <t>309</t>
  </si>
  <si>
    <t>310</t>
  </si>
  <si>
    <t>311</t>
  </si>
  <si>
    <t>312</t>
  </si>
  <si>
    <t>313</t>
  </si>
  <si>
    <t>315</t>
  </si>
  <si>
    <t>317</t>
  </si>
  <si>
    <t>318</t>
  </si>
  <si>
    <t>319</t>
  </si>
  <si>
    <t>321</t>
  </si>
  <si>
    <t>323</t>
  </si>
  <si>
    <t>324</t>
  </si>
  <si>
    <t>325</t>
  </si>
  <si>
    <t>326</t>
  </si>
  <si>
    <t>328</t>
  </si>
  <si>
    <t>329</t>
  </si>
  <si>
    <t>332</t>
  </si>
  <si>
    <t>333</t>
  </si>
  <si>
    <t>334</t>
  </si>
  <si>
    <t>335</t>
  </si>
  <si>
    <t>336</t>
  </si>
  <si>
    <t>337</t>
  </si>
  <si>
    <t>338</t>
  </si>
  <si>
    <t>340</t>
  </si>
  <si>
    <t>341</t>
  </si>
  <si>
    <t>342</t>
  </si>
  <si>
    <t>343</t>
  </si>
  <si>
    <t>344</t>
  </si>
  <si>
    <t>345</t>
  </si>
  <si>
    <t>347</t>
  </si>
  <si>
    <t>348</t>
  </si>
  <si>
    <t>350</t>
  </si>
  <si>
    <t>351</t>
  </si>
  <si>
    <t>352</t>
  </si>
  <si>
    <t>353</t>
  </si>
  <si>
    <t>354</t>
  </si>
  <si>
    <t>357</t>
  </si>
  <si>
    <t>358</t>
  </si>
  <si>
    <t>359</t>
  </si>
  <si>
    <t>360</t>
  </si>
  <si>
    <t>361</t>
  </si>
  <si>
    <t>362</t>
  </si>
  <si>
    <t>363</t>
  </si>
  <si>
    <t>366</t>
  </si>
  <si>
    <t>371</t>
  </si>
  <si>
    <t>372</t>
  </si>
  <si>
    <t>376</t>
  </si>
  <si>
    <t>377</t>
  </si>
  <si>
    <t>382</t>
  </si>
  <si>
    <t>385</t>
  </si>
  <si>
    <t>386</t>
  </si>
  <si>
    <t>387</t>
  </si>
  <si>
    <t>388</t>
  </si>
  <si>
    <t>389</t>
  </si>
  <si>
    <t>391</t>
  </si>
  <si>
    <t>392</t>
  </si>
  <si>
    <t>394</t>
  </si>
  <si>
    <t>397</t>
  </si>
  <si>
    <t>399</t>
  </si>
  <si>
    <t>400</t>
  </si>
  <si>
    <t>402</t>
  </si>
  <si>
    <t>404</t>
  </si>
  <si>
    <t>405</t>
  </si>
  <si>
    <t>406</t>
  </si>
  <si>
    <t>407</t>
  </si>
  <si>
    <t>408</t>
  </si>
  <si>
    <t>409</t>
  </si>
  <si>
    <t>411</t>
  </si>
  <si>
    <t>412</t>
  </si>
  <si>
    <t>414</t>
  </si>
  <si>
    <t>416</t>
  </si>
  <si>
    <t>418</t>
  </si>
  <si>
    <t>419</t>
  </si>
  <si>
    <t>420</t>
  </si>
  <si>
    <t>421</t>
  </si>
  <si>
    <t>422</t>
  </si>
  <si>
    <t>425</t>
  </si>
  <si>
    <t>426</t>
  </si>
  <si>
    <t>427</t>
  </si>
  <si>
    <t>430</t>
  </si>
  <si>
    <t>431</t>
  </si>
  <si>
    <t>434</t>
  </si>
  <si>
    <t>435</t>
  </si>
  <si>
    <t>440</t>
  </si>
  <si>
    <t>443</t>
  </si>
  <si>
    <t>445</t>
  </si>
  <si>
    <t>447</t>
  </si>
  <si>
    <t>449</t>
  </si>
  <si>
    <t>450</t>
  </si>
  <si>
    <t>451</t>
  </si>
  <si>
    <t>453</t>
  </si>
  <si>
    <t>454</t>
  </si>
  <si>
    <t>455</t>
  </si>
  <si>
    <t>456</t>
  </si>
  <si>
    <t>457</t>
  </si>
  <si>
    <t>459</t>
  </si>
  <si>
    <t>460</t>
  </si>
  <si>
    <t>462</t>
  </si>
  <si>
    <t>463</t>
  </si>
  <si>
    <t>464</t>
  </si>
  <si>
    <t>466</t>
  </si>
  <si>
    <t>468</t>
  </si>
  <si>
    <t>469</t>
  </si>
  <si>
    <t>471</t>
  </si>
  <si>
    <t>472</t>
  </si>
  <si>
    <t>473</t>
  </si>
  <si>
    <t>475</t>
  </si>
  <si>
    <t>476</t>
  </si>
  <si>
    <t>480</t>
  </si>
  <si>
    <t>481</t>
  </si>
  <si>
    <t>484</t>
  </si>
  <si>
    <t>486</t>
  </si>
  <si>
    <t>488</t>
  </si>
  <si>
    <t>490</t>
  </si>
  <si>
    <t>493</t>
  </si>
  <si>
    <t>499</t>
  </si>
  <si>
    <t>504</t>
  </si>
  <si>
    <t>511</t>
  </si>
  <si>
    <t>512</t>
  </si>
  <si>
    <t>513</t>
  </si>
  <si>
    <t>517</t>
  </si>
  <si>
    <t>527</t>
  </si>
  <si>
    <t>528</t>
  </si>
  <si>
    <t>530</t>
  </si>
  <si>
    <t>532</t>
  </si>
  <si>
    <t>534</t>
  </si>
  <si>
    <t>536</t>
  </si>
  <si>
    <t>537</t>
  </si>
  <si>
    <t>541</t>
  </si>
  <si>
    <t>547</t>
  </si>
  <si>
    <t>550</t>
  </si>
  <si>
    <t>552</t>
  </si>
  <si>
    <t>553</t>
  </si>
  <si>
    <t>559</t>
  </si>
  <si>
    <t>581</t>
  </si>
  <si>
    <t>585</t>
  </si>
  <si>
    <t>592</t>
  </si>
  <si>
    <t>619</t>
  </si>
  <si>
    <t>630</t>
  </si>
  <si>
    <t>642</t>
  </si>
  <si>
    <t>Андроньевская Б. ул., дом. 25/33</t>
  </si>
  <si>
    <t>Андроньевская М. ул., дом. 24</t>
  </si>
  <si>
    <t>Берников пер., дом. 2</t>
  </si>
  <si>
    <t>Берников пер., дом. 4</t>
  </si>
  <si>
    <t>Библиотечная ул., дом. 2</t>
  </si>
  <si>
    <t>Библиотечная ул., дом. 6</t>
  </si>
  <si>
    <t>Библиотечная ул., дом. 13</t>
  </si>
  <si>
    <t>Библиотечная ул., дом. 15/8</t>
  </si>
  <si>
    <t>Библиотечная ул., дом. 17</t>
  </si>
  <si>
    <t>Библиотечная ул., дом. 23</t>
  </si>
  <si>
    <t>Библиотечная ул., дом. 27</t>
  </si>
  <si>
    <t>Брошевский пер., дом. 4</t>
  </si>
  <si>
    <t>Брошевский пер., дом. 8</t>
  </si>
  <si>
    <t>Ведерников пер., дом. 4/12 стр.А</t>
  </si>
  <si>
    <t>Вековая ул., дом. 5</t>
  </si>
  <si>
    <t>Волгоградский просп., дом. 1 стр.1</t>
  </si>
  <si>
    <t>Волгоградский просп., дом. 4</t>
  </si>
  <si>
    <t>Волгоградский просп., дом. 5</t>
  </si>
  <si>
    <t>Волгоградский просп., дом. 6</t>
  </si>
  <si>
    <t>Волгоградский просп., дом. 7</t>
  </si>
  <si>
    <t>Волгоградский просп., дом. 8</t>
  </si>
  <si>
    <t>Волгоградский просп., дом. 9 стр.1</t>
  </si>
  <si>
    <t>Волгоградский просп., дом. 12</t>
  </si>
  <si>
    <t>Волгоградский просп., дом. 14</t>
  </si>
  <si>
    <t>Волгоградский просп., дом. 16</t>
  </si>
  <si>
    <t>Волгоградский просп., дом. 18</t>
  </si>
  <si>
    <t>Волгоградский просп., дом. 20</t>
  </si>
  <si>
    <t>Волгоградский просп., дом. 22</t>
  </si>
  <si>
    <t>Воловья ул., дом. 3</t>
  </si>
  <si>
    <t>Воронцово поле ул., дом. 16 стр.5</t>
  </si>
  <si>
    <t>Воронцово поле ул., дом. 18</t>
  </si>
  <si>
    <t>Воронцовская ул., дом. 13/14 стр.3</t>
  </si>
  <si>
    <t>Воронцовская ул., дом. 19б</t>
  </si>
  <si>
    <t>Воронцовская ул., дом. 22</t>
  </si>
  <si>
    <t>Воронцовская ул., дом. 24/6 стр.1</t>
  </si>
  <si>
    <t>Воронцовская ул., дом. 24/6 стр.2</t>
  </si>
  <si>
    <t>Воронцовская ул., дом. 25 стр.3</t>
  </si>
  <si>
    <t>Воронцовская ул., дом. 26</t>
  </si>
  <si>
    <t>Воронцовская ул., дом. 30 стр.1</t>
  </si>
  <si>
    <t>Воронцовская ул., дом. 32 стр.1</t>
  </si>
  <si>
    <t>Воронцовская ул., дом. 34 стр.1</t>
  </si>
  <si>
    <t>Воронцовская ул., дом. 36 стр.1</t>
  </si>
  <si>
    <t>Воронцовская ул., дом. 40</t>
  </si>
  <si>
    <t>Воронцовская ул., дом. 46</t>
  </si>
  <si>
    <t>Воронцовская ул., дом. 48</t>
  </si>
  <si>
    <t>32(ОБЩЕЖИТИЕ)</t>
  </si>
  <si>
    <t>34(ОБЩЕЖИТИЕ)</t>
  </si>
  <si>
    <t>Гвоздева ул., дом. 7/4 стр.1</t>
  </si>
  <si>
    <t>Гжельский пер., дом. 3</t>
  </si>
  <si>
    <t>Гончарная наб., дом. 3 стр.3</t>
  </si>
  <si>
    <t>Гончарная наб., дом. 3 стр.5</t>
  </si>
  <si>
    <t>1Б</t>
  </si>
  <si>
    <t>Гончарная ул., дом. 5</t>
  </si>
  <si>
    <t>Гончарная ул., дом. 26 к.1</t>
  </si>
  <si>
    <t>Гончарная ул., дом. 38</t>
  </si>
  <si>
    <t>Гончарный 1-й пер., дом. 7</t>
  </si>
  <si>
    <t>Гончарный пр., дом. 6 стр.1</t>
  </si>
  <si>
    <t>Гончарный пр., дом. 6 стр.1А</t>
  </si>
  <si>
    <t>Гончарный пр., дом. 8/40</t>
  </si>
  <si>
    <t>Динамовская ул., дом. 9 стр.1</t>
  </si>
  <si>
    <t>Динамовская ул., дом. 10 к.1</t>
  </si>
  <si>
    <t>Динамовский 2-й пер., дом. 3</t>
  </si>
  <si>
    <t>Дровяной Б. пер., дом. 9</t>
  </si>
  <si>
    <t>Дровяной Б. пер., дом. 21 стр.1</t>
  </si>
  <si>
    <t>Дровяной М. пер., дом. 3 стр.6</t>
  </si>
  <si>
    <t>Дубровская 1-я ул., дом. 1А</t>
  </si>
  <si>
    <t>Дубровская 1-я ул., дом. 1 к.1</t>
  </si>
  <si>
    <t>Дубровская 1-я ул., дом. 1 к.2</t>
  </si>
  <si>
    <t>Дубровская 1-я ул., дом. 1 к.4</t>
  </si>
  <si>
    <t>Дубровская 1-я ул., дом. 3</t>
  </si>
  <si>
    <t>Дубровская 1-я ул., дом. 5</t>
  </si>
  <si>
    <t>Дубровская 1-я ул., дом. 5а</t>
  </si>
  <si>
    <t>Дубровская 1-я ул., дом. 7/10</t>
  </si>
  <si>
    <t>Дубровская 2-я ул., дом. 1</t>
  </si>
  <si>
    <t>Дубровская 2-я ул., дом. 2</t>
  </si>
  <si>
    <t>Дубровская 2-я ул., дом. 4</t>
  </si>
  <si>
    <t>Дубровская 2-я ул., дом. 5</t>
  </si>
  <si>
    <t>Дубровская 2-я ул., дом. 6</t>
  </si>
  <si>
    <t>Дубровская 2-я ул., дом. 8</t>
  </si>
  <si>
    <t>18A</t>
  </si>
  <si>
    <t>Дубровская 2-я ул., дом. 10/8</t>
  </si>
  <si>
    <t>Земляной вал ул., дом. 41 стр.1</t>
  </si>
  <si>
    <t>Земляной вал ул., дом. 42/20</t>
  </si>
  <si>
    <t>Земляной вал ул., дом. 44</t>
  </si>
  <si>
    <t>Земляной вал ул., дом. 46</t>
  </si>
  <si>
    <t>Земляной вал ул., дом. 48а</t>
  </si>
  <si>
    <t>Земляной вал ул., дом. 48б</t>
  </si>
  <si>
    <t>Земляной вал ул., дом. 52</t>
  </si>
  <si>
    <t>Земляной вал ул., дом. 52/16 стр.2</t>
  </si>
  <si>
    <t>Земляной вал ул., дом. 52/16 стр.3</t>
  </si>
  <si>
    <t>57,58,59</t>
  </si>
  <si>
    <t>Земляной вал ул., дом. 61 к.1</t>
  </si>
  <si>
    <t>Земляной вал ул., дом. 65</t>
  </si>
  <si>
    <t>Землянский пер., дом. 3</t>
  </si>
  <si>
    <t>Иерусалимская ул., дом. 2</t>
  </si>
  <si>
    <t>Иерусалимская ул., дом. 8</t>
  </si>
  <si>
    <t>Калитниковская Б. ул., дом. 12</t>
  </si>
  <si>
    <t>Калитниковская Б. ул., дом. 38</t>
  </si>
  <si>
    <t>Калитниковская Б. ул., дом. 42А</t>
  </si>
  <si>
    <t>Калитниковская Б. ул., дом. 42/5 к.1</t>
  </si>
  <si>
    <t>Калитниковская Б. ул., дом. 42/5 к.2</t>
  </si>
  <si>
    <t>Калитниковская Б. ул., дом. 46</t>
  </si>
  <si>
    <t>Калитниковская М. ул., дом. 1</t>
  </si>
  <si>
    <t>Калитниковская М. ул., дом. 2 к.1</t>
  </si>
  <si>
    <t>Калитниковская М. ул., дом. 2 к.2</t>
  </si>
  <si>
    <t>Калитниковская М. ул., дом. 3</t>
  </si>
  <si>
    <t>Калитниковская М. ул., дом. 5</t>
  </si>
  <si>
    <t>Калитниковская М. ул., дом. 7</t>
  </si>
  <si>
    <t>Калитниковская М. ул., дом. 9</t>
  </si>
  <si>
    <t>Калитниковская М. ул., дом. 16</t>
  </si>
  <si>
    <t>Калитниковская М. ул., дом. 18</t>
  </si>
  <si>
    <t>Калитниковская М. ул., дом. 20 к.1</t>
  </si>
  <si>
    <t>Калитниковская М. ул., дом. 20 к.2</t>
  </si>
  <si>
    <t>Калитниковская М. ул., дом. 45</t>
  </si>
  <si>
    <t>Калитниковская М. ул., дом. 47а к.1</t>
  </si>
  <si>
    <t>Калитниковская М. ул., дом. 47а к.2</t>
  </si>
  <si>
    <t>Калитниковская Ср. ул., дом. 10</t>
  </si>
  <si>
    <t>Калитниковская Ср. ул., дом. 15</t>
  </si>
  <si>
    <t>Калитниковская Ср. ул., дом. 24</t>
  </si>
  <si>
    <t>Каменщики Б. ул., дом. 8</t>
  </si>
  <si>
    <t>Каменщики Б. ул., дом. 17</t>
  </si>
  <si>
    <t>Каменщики Б. ул., дом. 21/8</t>
  </si>
  <si>
    <t>Каменщики М. ул., дом. 18 к.1</t>
  </si>
  <si>
    <t>Каменщики М. ул., дом. 18 к.2</t>
  </si>
  <si>
    <t>Каменщики М. ул., дом. 18 к.3</t>
  </si>
  <si>
    <t>Каменщики М. ул., дом. 18 к.4</t>
  </si>
  <si>
    <t>Качалинская ул., дом. 9</t>
  </si>
  <si>
    <t>Ковров пер., дом. 1</t>
  </si>
  <si>
    <t>Ковров пер., дом. 4 к.1</t>
  </si>
  <si>
    <t>Ковров пер., дом. 4 к.2</t>
  </si>
  <si>
    <t>Ковров пер., дом. 15</t>
  </si>
  <si>
    <t>Ковров пер., дом. 16</t>
  </si>
  <si>
    <t>Ковров пер., дом. 18</t>
  </si>
  <si>
    <t>Ковров пер., дом. 20</t>
  </si>
  <si>
    <t>Ковров пер., дом. 26 стр.1</t>
  </si>
  <si>
    <t>Ковров пер., дом. 28 стр.1</t>
  </si>
  <si>
    <t>Котельническая наб., дом. 25 к.2</t>
  </si>
  <si>
    <t>Котельническая наб., дом. 33 к.1</t>
  </si>
  <si>
    <t>Котельнический 2-й пер., дом. 5</t>
  </si>
  <si>
    <t>Котельнический 5-й пер., дом. 12</t>
  </si>
  <si>
    <t>66А</t>
  </si>
  <si>
    <t>Краснохолмская наб., дом. 1/15</t>
  </si>
  <si>
    <t>Краснохолмская наб., дом. 3</t>
  </si>
  <si>
    <t>Краснохолмская наб., дом. 5-9</t>
  </si>
  <si>
    <t>Краснохолмская наб., дом. 11 стр.1</t>
  </si>
  <si>
    <t>Краснохолмская наб., дом. 13 стр.1</t>
  </si>
  <si>
    <t>Крестьянский туп., дом. 14-16</t>
  </si>
  <si>
    <t>Марксистская ул., дом. 1 к.1</t>
  </si>
  <si>
    <t>170,171</t>
  </si>
  <si>
    <t>Марксистская ул., дом. 5</t>
  </si>
  <si>
    <t>Марксистская ул., дом. 9</t>
  </si>
  <si>
    <t>Марксистская ул., дом. 9 стр.3 Общ.</t>
  </si>
  <si>
    <t>1ОБЩЕЖИТИЕ</t>
  </si>
  <si>
    <t>Марксистская ул., дом. 38</t>
  </si>
  <si>
    <t>Марксистский пер., дом. 3</t>
  </si>
  <si>
    <t>Мартыновский пер., дом. 8</t>
  </si>
  <si>
    <t>Маяковского пер., дом. 2</t>
  </si>
  <si>
    <t>Маяковского пер., дом. 3</t>
  </si>
  <si>
    <t>Международная ул., дом. 9</t>
  </si>
  <si>
    <t>Международная ул., дом. 18/30</t>
  </si>
  <si>
    <t>Международная ул., дом. 20/19</t>
  </si>
  <si>
    <t>Международная ул., дом. 22 стр.1</t>
  </si>
  <si>
    <t>Международная ул., дом. 26</t>
  </si>
  <si>
    <t>Международная ул., дом. 28 стр.1</t>
  </si>
  <si>
    <t>Международная ул., дом. 32</t>
  </si>
  <si>
    <t>Международная ул., дом. 34</t>
  </si>
  <si>
    <t>Народная ул., дом. 11 стр.1</t>
  </si>
  <si>
    <t>Народная ул., дом. 12</t>
  </si>
  <si>
    <t>Народная ул., дом. 13</t>
  </si>
  <si>
    <t>Наставнический пер., дом. 3</t>
  </si>
  <si>
    <t>Наставнический пер., дом. 8 к.1</t>
  </si>
  <si>
    <t>Нижегородская ул., дом. 1а</t>
  </si>
  <si>
    <t>Нижегородская ул., дом. 1 стр.1</t>
  </si>
  <si>
    <t>3общ</t>
  </si>
  <si>
    <t>Нижегородская ул., дом. 2 к.1</t>
  </si>
  <si>
    <t>Нижегородская ул., дом. 2 к.2</t>
  </si>
  <si>
    <t>Нижегородская ул., дом. 3</t>
  </si>
  <si>
    <t>Нижегородская ул., дом. 4 к.1</t>
  </si>
  <si>
    <t>Нижегородская ул., дом. 4 к.2</t>
  </si>
  <si>
    <t>Нижегородская ул., дом. 5</t>
  </si>
  <si>
    <t>Нижегородская ул., дом. 6</t>
  </si>
  <si>
    <t>Нижегородская ул., дом. 7</t>
  </si>
  <si>
    <t>Нижегородская ул., дом. 9а</t>
  </si>
  <si>
    <t>Нижегородская ул., дом. 10 к.1</t>
  </si>
  <si>
    <t>Нижегородская ул., дом. 10 к.2</t>
  </si>
  <si>
    <t>Нижегородская ул., дом. 11</t>
  </si>
  <si>
    <t>Нижегородская ул., дом. 11А</t>
  </si>
  <si>
    <t>Нижегородская ул., дом. 12</t>
  </si>
  <si>
    <t>Нижегородская ул., дом. 13а</t>
  </si>
  <si>
    <t>Нижегородская ул., дом. 14 к.1</t>
  </si>
  <si>
    <t>Нижегородская ул., дом. 14 к.2</t>
  </si>
  <si>
    <t>Нижегородская ул., дом. 16</t>
  </si>
  <si>
    <t>Нижегородская ул., дом. 17</t>
  </si>
  <si>
    <t>Нижегородская ул., дом. 18</t>
  </si>
  <si>
    <t>Нижегородская ул., дом. 20</t>
  </si>
  <si>
    <t>Нижегородская ул., дом. 24</t>
  </si>
  <si>
    <t>Нижегородская ул., дом. 25</t>
  </si>
  <si>
    <t>Нижегородская ул., дом. 26</t>
  </si>
  <si>
    <t>Николоямская ул., дом. 9</t>
  </si>
  <si>
    <t>Николоямская ул., дом. 19 стр.1</t>
  </si>
  <si>
    <t>Николоямская ул., дом. 39/43 к.1</t>
  </si>
  <si>
    <t>Николоямская ул., дом. 39/43 к.2</t>
  </si>
  <si>
    <t>Николоямская ул., дом. 45 стр.1</t>
  </si>
  <si>
    <t>Николоямская ул., дом. 45 стр.2</t>
  </si>
  <si>
    <t>Николоямский пер., дом. 2</t>
  </si>
  <si>
    <t>Николоямский пер., дом. 3А к.2</t>
  </si>
  <si>
    <t>Николоямский пер., дом. 3А к.3</t>
  </si>
  <si>
    <t>Николоямский пер., дом. 3А к.4</t>
  </si>
  <si>
    <t>Николоямский пер., дом. 4/6 стр.3</t>
  </si>
  <si>
    <t>Николоямский пер., дом. 4/6 стр.4</t>
  </si>
  <si>
    <t>Новорогожская ул., дом. 3</t>
  </si>
  <si>
    <t>Новорогожская ул., дом. 4 стр.1</t>
  </si>
  <si>
    <t>73-74</t>
  </si>
  <si>
    <t>Новорогожская ул., дом. 5</t>
  </si>
  <si>
    <t>Новорогожская ул., дом. 6 стр.1</t>
  </si>
  <si>
    <t>Новорогожская ул., дом. 8</t>
  </si>
  <si>
    <t>Новорогожская ул., дом. 10</t>
  </si>
  <si>
    <t>Новорогожская ул., дом. 11 к.2</t>
  </si>
  <si>
    <t>Новорогожская ул., дом. 14 к.1</t>
  </si>
  <si>
    <t>Новорогожская ул., дом. 14 к.2</t>
  </si>
  <si>
    <t>Новорогожская ул., дом. 20</t>
  </si>
  <si>
    <t>Новорогожская ул., дом. 22</t>
  </si>
  <si>
    <t>Новорогожская ул., дом. 28</t>
  </si>
  <si>
    <t>Новорогожская ул., дом. 30</t>
  </si>
  <si>
    <t>Новорогожская ул., дом. 36</t>
  </si>
  <si>
    <t>Новорогожская ул., дом. 38</t>
  </si>
  <si>
    <t>Новорогожская ул., дом. 40</t>
  </si>
  <si>
    <t>Новорогожская ул., дом. 42</t>
  </si>
  <si>
    <t>Новоспасский пер., дом. 3 к.1</t>
  </si>
  <si>
    <t>65A</t>
  </si>
  <si>
    <t>Новоспасский пер., дом. 3 к.2</t>
  </si>
  <si>
    <t>Новоспасский пер., дом. 5</t>
  </si>
  <si>
    <t>Обуха пер., дом. 4</t>
  </si>
  <si>
    <t>Певческий пер., дом. 1/2 стр.1</t>
  </si>
  <si>
    <t>Певческий пер., дом. 1/2 стр.2</t>
  </si>
  <si>
    <t>Певческий пер., дом. 1/2 стр.2б</t>
  </si>
  <si>
    <t>Певческий пер., дом. 1/2 стр.3-3а</t>
  </si>
  <si>
    <t>Пестовский пер., дом. 6</t>
  </si>
  <si>
    <t>Пестовский пер., дом. 7</t>
  </si>
  <si>
    <t>Пестовский пер., дом. 9</t>
  </si>
  <si>
    <t>Пестовский пер., дом. 12</t>
  </si>
  <si>
    <t>Пестовский пер., дом. 14</t>
  </si>
  <si>
    <t>Рабочая ул., дом. 3/5</t>
  </si>
  <si>
    <t>Рабочая ул., дом. 4</t>
  </si>
  <si>
    <t>Рабочая ул., дом. 4а</t>
  </si>
  <si>
    <t>Рабочая ул., дом. 6а</t>
  </si>
  <si>
    <t>Рабочая ул., дом. 6 к.1</t>
  </si>
  <si>
    <t>Рабочая ул., дом. 8</t>
  </si>
  <si>
    <t>Рабочая ул., дом. 13</t>
  </si>
  <si>
    <t>Рабочая ул., дом. 14</t>
  </si>
  <si>
    <t>Рабочая ул., дом. 16</t>
  </si>
  <si>
    <t>Рабочая ул., дом. 25</t>
  </si>
  <si>
    <t>Рабочая ул., дом. 33</t>
  </si>
  <si>
    <t>Рабочая ул., дом. 37</t>
  </si>
  <si>
    <t>Радищевская Верхн. ул., дом. 11 стр.2</t>
  </si>
  <si>
    <t>Радищевская Верхн. ул., дом. 13/15</t>
  </si>
  <si>
    <t>Рогожская застава пл., дом. 2/1 стр.1</t>
  </si>
  <si>
    <t>Рогожская застава пл., дом. 2/1 стр.2</t>
  </si>
  <si>
    <t>Рогожский Б. пер., дом. 5 к.1</t>
  </si>
  <si>
    <t>Рогожский Б. пер., дом. 5 к.2</t>
  </si>
  <si>
    <t>Рогожский Б. пер., дом. 10 к.1</t>
  </si>
  <si>
    <t>Рогожский Б. пер., дом. 10 к.2</t>
  </si>
  <si>
    <t>Рогожский Б. пер., дом. 10 к.3</t>
  </si>
  <si>
    <t>Рогожский Б. пер., дом. 15</t>
  </si>
  <si>
    <t>Рогожский вал ул., дом. 2/50</t>
  </si>
  <si>
    <t>Рогожский вал ул., дом. 3</t>
  </si>
  <si>
    <t>Рогожский вал ул., дом. 4</t>
  </si>
  <si>
    <t>Рогожский вал ул., дом. 6</t>
  </si>
  <si>
    <t>Рогожский вал ул., дом. 7</t>
  </si>
  <si>
    <t>Рогожский вал ул., дом. 8</t>
  </si>
  <si>
    <t>Рогожский вал ул., дом. 12</t>
  </si>
  <si>
    <t>Рогожский вал ул., дом. 13 к.2</t>
  </si>
  <si>
    <t>317,318</t>
  </si>
  <si>
    <t>Рогожский вал ул., дом. 13 к.8</t>
  </si>
  <si>
    <t>Рогожский вал ул., дом. 15</t>
  </si>
  <si>
    <t>Рогожский вал ул., дом. 17</t>
  </si>
  <si>
    <t>Рогожский М. пер., дом. 11</t>
  </si>
  <si>
    <t>Рогожский М. пер., дом. 13 стр.1</t>
  </si>
  <si>
    <t>Саринский пр., дом. 2</t>
  </si>
  <si>
    <t>Сергия Радонежского ул., дом. 2</t>
  </si>
  <si>
    <t>Сергия Радонежского ул., дом. 4</t>
  </si>
  <si>
    <t>Сергия Радонежского ул., дом. 6</t>
  </si>
  <si>
    <t>Сергия Радонежского ул., дом. 8</t>
  </si>
  <si>
    <t>Сергия Радонежского ул., дом. 10 к.1</t>
  </si>
  <si>
    <t>Сергия Радонежского ул., дом. 10 к.2</t>
  </si>
  <si>
    <t>Сергия Радонежского ул., дом. 12 к.1</t>
  </si>
  <si>
    <t>Сергия Радонежского ул., дом. 12 к.2</t>
  </si>
  <si>
    <t>165-166</t>
  </si>
  <si>
    <t>Серебрянический пер., дом. 4 стр.1</t>
  </si>
  <si>
    <t>Серебрянический пер., дом. 9</t>
  </si>
  <si>
    <t>Сибирский пр., дом. 2 к.26</t>
  </si>
  <si>
    <t>Сибирский пр., дом. 2 стр.4</t>
  </si>
  <si>
    <t>Симоновский Б. пер., дом. 2</t>
  </si>
  <si>
    <t>Симоновский Б. пр., дом. 11</t>
  </si>
  <si>
    <t>Солженицына Александра ул., дом. 11</t>
  </si>
  <si>
    <t>Солженицына Александра ул., дом. 14 к.1</t>
  </si>
  <si>
    <t>Солженицына Александра ул., дом. 24</t>
  </si>
  <si>
    <t>Солженицына Александра ул., дом. 29/18</t>
  </si>
  <si>
    <t>Сосинская ул., дом. 6</t>
  </si>
  <si>
    <t>Сосинский пр., дом. 8</t>
  </si>
  <si>
    <t>Станиславского ул., дом. 3/9</t>
  </si>
  <si>
    <t>Станиславского ул., дом. 8а</t>
  </si>
  <si>
    <t>Станиславского ул., дом. 18</t>
  </si>
  <si>
    <t>Стройковская ул., дом. 2</t>
  </si>
  <si>
    <t>Стройковская ул., дом. 4</t>
  </si>
  <si>
    <t>Стройковская ул., дом. 8</t>
  </si>
  <si>
    <t>Стройковская ул., дом. 10</t>
  </si>
  <si>
    <t>Стройковская ул., дом. 12 к.1</t>
  </si>
  <si>
    <t>Сыромятническая Верхн. ул., дом. 2</t>
  </si>
  <si>
    <t>Сыромятнический 2-й пер., дом. 4 стр.3</t>
  </si>
  <si>
    <t>Сыромятнический 2-й пер., дом. 8</t>
  </si>
  <si>
    <t>Таганская ул., дом. 1/2 стр.2</t>
  </si>
  <si>
    <t>Таганская ул., дом. 15 стр.2</t>
  </si>
  <si>
    <t>Таганская ул., дом. 22</t>
  </si>
  <si>
    <t>Таганская ул., дом. 24 стр.4</t>
  </si>
  <si>
    <t>Таганская ул., дом. 24 стр.5</t>
  </si>
  <si>
    <t>Таганская ул., дом. 25</t>
  </si>
  <si>
    <t>Таганская ул., дом. 26 стр.1</t>
  </si>
  <si>
    <t>Таганская ул., дом. 27</t>
  </si>
  <si>
    <t>Таганская ул., дом. 29</t>
  </si>
  <si>
    <t>Таганская ул., дом. 30/2</t>
  </si>
  <si>
    <t>Таганская ул., дом. 31/22</t>
  </si>
  <si>
    <t>Таганская ул., дом. 44</t>
  </si>
  <si>
    <t>Талалихина ул., дом. 1 к.2</t>
  </si>
  <si>
    <t>Талалихина ул., дом. 2/1 к.1</t>
  </si>
  <si>
    <t>Талалихина ул., дом. 2/1 к.4</t>
  </si>
  <si>
    <t>Талалихина ул., дом. 2/1 к.5</t>
  </si>
  <si>
    <t>Талалихина ул., дом. 2/1 к.6</t>
  </si>
  <si>
    <t>Талалихина ул., дом. 3</t>
  </si>
  <si>
    <t>Талалихина ул., дом. 6 стр.1</t>
  </si>
  <si>
    <t>Талалихина ул., дом. 6-8/2 стр.3</t>
  </si>
  <si>
    <t>Талалихина ул., дом. 16</t>
  </si>
  <si>
    <t>Талалихина ул., дом. 18</t>
  </si>
  <si>
    <t>Талалихина ул., дом. 39</t>
  </si>
  <si>
    <t>Тетеринский пер., дом. 12</t>
  </si>
  <si>
    <t>Тетеринский пер., дом. 14 стр.2</t>
  </si>
  <si>
    <t>Тетеринский пер., дом. 16</t>
  </si>
  <si>
    <t>Товарищеский пер., дом. 7 стр.1</t>
  </si>
  <si>
    <t>Товарищеский пер., дом. 13</t>
  </si>
  <si>
    <t>Товарищеский пер., дом. 17 стр.1</t>
  </si>
  <si>
    <t>9А</t>
  </si>
  <si>
    <t>14а</t>
  </si>
  <si>
    <t>Товарищеский пер., дом. 17 стр.1А</t>
  </si>
  <si>
    <t>Товарищеский пер., дом. 17 стр.1Б-Г</t>
  </si>
  <si>
    <t>Товарищеский пер., дом. 20 к.1</t>
  </si>
  <si>
    <t>Товарищеский пер., дом. 20 к.2</t>
  </si>
  <si>
    <t>Товарищеский пер., дом. 20 к.4</t>
  </si>
  <si>
    <t>Товарищеский пер., дом. 24</t>
  </si>
  <si>
    <t>Трудовая ул., дом. 2/21</t>
  </si>
  <si>
    <t>Факельный Б. пер., дом. 1</t>
  </si>
  <si>
    <t>Факельный Б. пер., дом. 3</t>
  </si>
  <si>
    <t>Факельный Б. пер., дом. 6/12</t>
  </si>
  <si>
    <t>Факельный Б. пер., дом. 9/11</t>
  </si>
  <si>
    <t>Факельный Б. пер., дом. 22</t>
  </si>
  <si>
    <t>Факельный Б. пер., дом. 24</t>
  </si>
  <si>
    <t>Чесменская ул., дом. 5</t>
  </si>
  <si>
    <t>Чесменская ул., дом. 7</t>
  </si>
  <si>
    <t>Шелапутинский пер., дом. 1</t>
  </si>
  <si>
    <t>Яузская ул., дом. 6-8 стр.3 к.1</t>
  </si>
  <si>
    <t>Яузская ул., дом. 6-8 стр.5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</si>
</sst>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rgb="FF0C67D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EF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9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I5" sqref="I5"/>
    </sheetView>
  </sheetViews>
  <sheetFormatPr defaultRowHeight="15.75" x14ac:dyDescent="0.25"/>
  <cols>
    <col min="1" max="1" width="16" style="1" customWidth="1"/>
    <col min="2" max="2" width="37.7109375" style="1" customWidth="1"/>
    <col min="3" max="3" width="11.28515625" style="1" customWidth="1"/>
    <col min="4" max="4" width="14.7109375" style="1" customWidth="1"/>
    <col min="5" max="16384" width="9.140625" style="1"/>
  </cols>
  <sheetData>
    <row r="1" spans="1:5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3" t="s">
        <v>6</v>
      </c>
      <c r="C2" s="3" t="s">
        <v>14</v>
      </c>
      <c r="D2" s="4">
        <f>HYPERLINK("https://cao.dolgi.msk.ru/account/1060439247/", 1060439247)</f>
        <v>1060439247</v>
      </c>
      <c r="E2" s="3">
        <v>17070.04</v>
      </c>
    </row>
    <row r="3" spans="1:5" x14ac:dyDescent="0.25">
      <c r="A3" s="3" t="s">
        <v>5</v>
      </c>
      <c r="B3" s="3" t="s">
        <v>6</v>
      </c>
      <c r="C3" s="3" t="s">
        <v>18</v>
      </c>
      <c r="D3" s="4">
        <f>HYPERLINK("https://cao.dolgi.msk.ru/account/1060439298/", 1060439298)</f>
        <v>1060439298</v>
      </c>
      <c r="E3" s="3">
        <v>23852.14</v>
      </c>
    </row>
    <row r="4" spans="1:5" x14ac:dyDescent="0.25">
      <c r="A4" s="3" t="s">
        <v>5</v>
      </c>
      <c r="B4" s="3" t="s">
        <v>6</v>
      </c>
      <c r="C4" s="3" t="s">
        <v>21</v>
      </c>
      <c r="D4" s="4">
        <f>HYPERLINK("https://cao.dolgi.msk.ru/account/1060439335/", 1060439335)</f>
        <v>1060439335</v>
      </c>
      <c r="E4" s="3">
        <v>17991.939999999999</v>
      </c>
    </row>
    <row r="5" spans="1:5" x14ac:dyDescent="0.25">
      <c r="A5" s="3" t="s">
        <v>5</v>
      </c>
      <c r="B5" s="3" t="s">
        <v>6</v>
      </c>
      <c r="C5" s="3" t="s">
        <v>28</v>
      </c>
      <c r="D5" s="4">
        <f>HYPERLINK("https://cao.dolgi.msk.ru/account/1060439423/", 1060439423)</f>
        <v>1060439423</v>
      </c>
      <c r="E5" s="3">
        <v>8251.33</v>
      </c>
    </row>
    <row r="6" spans="1:5" x14ac:dyDescent="0.25">
      <c r="A6" s="3" t="s">
        <v>5</v>
      </c>
      <c r="B6" s="3" t="s">
        <v>6</v>
      </c>
      <c r="C6" s="3" t="s">
        <v>28</v>
      </c>
      <c r="D6" s="4">
        <f>HYPERLINK("https://cao.dolgi.msk.ru/account/1060439431/", 1060439431)</f>
        <v>1060439431</v>
      </c>
      <c r="E6" s="3">
        <v>7470.05</v>
      </c>
    </row>
    <row r="7" spans="1:5" x14ac:dyDescent="0.25">
      <c r="A7" s="3" t="s">
        <v>5</v>
      </c>
      <c r="B7" s="3" t="s">
        <v>6</v>
      </c>
      <c r="C7" s="3" t="s">
        <v>34</v>
      </c>
      <c r="D7" s="4">
        <f>HYPERLINK("https://cao.dolgi.msk.ru/account/1060439511/", 1060439511)</f>
        <v>1060439511</v>
      </c>
      <c r="E7" s="3">
        <v>5208.8900000000003</v>
      </c>
    </row>
    <row r="8" spans="1:5" x14ac:dyDescent="0.25">
      <c r="A8" s="3" t="s">
        <v>5</v>
      </c>
      <c r="B8" s="3" t="s">
        <v>6</v>
      </c>
      <c r="C8" s="3" t="s">
        <v>36</v>
      </c>
      <c r="D8" s="4">
        <f>HYPERLINK("https://cao.dolgi.msk.ru/account/1060439554/", 1060439554)</f>
        <v>1060439554</v>
      </c>
      <c r="E8" s="3">
        <v>1879.24</v>
      </c>
    </row>
    <row r="9" spans="1:5" x14ac:dyDescent="0.25">
      <c r="A9" s="3" t="s">
        <v>5</v>
      </c>
      <c r="B9" s="3" t="s">
        <v>6</v>
      </c>
      <c r="C9" s="3" t="s">
        <v>49</v>
      </c>
      <c r="D9" s="4">
        <f>HYPERLINK("https://cao.dolgi.msk.ru/account/1060439706/", 1060439706)</f>
        <v>1060439706</v>
      </c>
      <c r="E9" s="3">
        <v>20408.919999999998</v>
      </c>
    </row>
    <row r="10" spans="1:5" x14ac:dyDescent="0.25">
      <c r="A10" s="3" t="s">
        <v>5</v>
      </c>
      <c r="B10" s="3" t="s">
        <v>6</v>
      </c>
      <c r="C10" s="3" t="s">
        <v>53</v>
      </c>
      <c r="D10" s="4">
        <f>HYPERLINK("https://cao.dolgi.msk.ru/account/1060439757/", 1060439757)</f>
        <v>1060439757</v>
      </c>
      <c r="E10" s="3">
        <v>129746.07</v>
      </c>
    </row>
    <row r="11" spans="1:5" x14ac:dyDescent="0.25">
      <c r="A11" s="3" t="s">
        <v>5</v>
      </c>
      <c r="B11" s="3" t="s">
        <v>6</v>
      </c>
      <c r="C11" s="3" t="s">
        <v>62</v>
      </c>
      <c r="D11" s="4">
        <f>HYPERLINK("https://cao.dolgi.msk.ru/account/1060439888/", 1060439888)</f>
        <v>1060439888</v>
      </c>
      <c r="E11" s="3">
        <v>5252.02</v>
      </c>
    </row>
    <row r="12" spans="1:5" x14ac:dyDescent="0.25">
      <c r="A12" s="3" t="s">
        <v>5</v>
      </c>
      <c r="B12" s="3" t="s">
        <v>6</v>
      </c>
      <c r="C12" s="3" t="s">
        <v>63</v>
      </c>
      <c r="D12" s="4">
        <f>HYPERLINK("https://cao.dolgi.msk.ru/account/1060439896/", 1060439896)</f>
        <v>1060439896</v>
      </c>
      <c r="E12" s="3">
        <v>10105.219999999999</v>
      </c>
    </row>
    <row r="13" spans="1:5" x14ac:dyDescent="0.25">
      <c r="A13" s="3" t="s">
        <v>5</v>
      </c>
      <c r="B13" s="3" t="s">
        <v>6</v>
      </c>
      <c r="C13" s="3" t="s">
        <v>65</v>
      </c>
      <c r="D13" s="4">
        <f>HYPERLINK("https://cao.dolgi.msk.ru/account/1060439917/", 1060439917)</f>
        <v>1060439917</v>
      </c>
      <c r="E13" s="3">
        <v>8700.9500000000007</v>
      </c>
    </row>
    <row r="14" spans="1:5" x14ac:dyDescent="0.25">
      <c r="A14" s="3" t="s">
        <v>5</v>
      </c>
      <c r="B14" s="3" t="s">
        <v>71</v>
      </c>
      <c r="C14" s="3" t="s">
        <v>78</v>
      </c>
      <c r="D14" s="4">
        <f>HYPERLINK("https://cao.dolgi.msk.ru/account/1060440096/", 1060440096)</f>
        <v>1060440096</v>
      </c>
      <c r="E14" s="3">
        <v>14473.11</v>
      </c>
    </row>
    <row r="15" spans="1:5" x14ac:dyDescent="0.25">
      <c r="A15" s="3" t="s">
        <v>5</v>
      </c>
      <c r="B15" s="3" t="s">
        <v>71</v>
      </c>
      <c r="C15" s="3" t="s">
        <v>94</v>
      </c>
      <c r="D15" s="4">
        <f>HYPERLINK("https://cao.dolgi.msk.ru/account/1060440328/", 1060440328)</f>
        <v>1060440328</v>
      </c>
      <c r="E15" s="3">
        <v>7147.19</v>
      </c>
    </row>
    <row r="16" spans="1:5" x14ac:dyDescent="0.25">
      <c r="A16" s="3" t="s">
        <v>5</v>
      </c>
      <c r="B16" s="3" t="s">
        <v>71</v>
      </c>
      <c r="C16" s="3" t="s">
        <v>96</v>
      </c>
      <c r="D16" s="4">
        <f>HYPERLINK("https://cao.dolgi.msk.ru/account/1060440379/", 1060440379)</f>
        <v>1060440379</v>
      </c>
      <c r="E16" s="3">
        <v>7418.83</v>
      </c>
    </row>
    <row r="17" spans="1:5" x14ac:dyDescent="0.25">
      <c r="A17" s="3" t="s">
        <v>5</v>
      </c>
      <c r="B17" s="3" t="s">
        <v>71</v>
      </c>
      <c r="C17" s="3" t="s">
        <v>96</v>
      </c>
      <c r="D17" s="4">
        <f>HYPERLINK("https://cao.dolgi.msk.ru/account/1060863689/", 1060863689)</f>
        <v>1060863689</v>
      </c>
      <c r="E17" s="3">
        <v>2574.48</v>
      </c>
    </row>
    <row r="18" spans="1:5" x14ac:dyDescent="0.25">
      <c r="A18" s="3" t="s">
        <v>5</v>
      </c>
      <c r="B18" s="3" t="s">
        <v>71</v>
      </c>
      <c r="C18" s="3" t="s">
        <v>119</v>
      </c>
      <c r="D18" s="4">
        <f>HYPERLINK("https://cao.dolgi.msk.ru/account/1060440758/", 1060440758)</f>
        <v>1060440758</v>
      </c>
      <c r="E18" s="3">
        <v>19661.28</v>
      </c>
    </row>
    <row r="19" spans="1:5" x14ac:dyDescent="0.25">
      <c r="A19" s="3" t="s">
        <v>5</v>
      </c>
      <c r="B19" s="3" t="s">
        <v>71</v>
      </c>
      <c r="C19" s="3" t="s">
        <v>122</v>
      </c>
      <c r="D19" s="4">
        <f>HYPERLINK("https://cao.dolgi.msk.ru/account/1060440846/", 1060440846)</f>
        <v>1060440846</v>
      </c>
      <c r="E19" s="3">
        <v>118723.39</v>
      </c>
    </row>
    <row r="20" spans="1:5" x14ac:dyDescent="0.25">
      <c r="A20" s="3" t="s">
        <v>5</v>
      </c>
      <c r="B20" s="3" t="s">
        <v>71</v>
      </c>
      <c r="C20" s="3" t="s">
        <v>124</v>
      </c>
      <c r="D20" s="4">
        <f>HYPERLINK("https://cao.dolgi.msk.ru/account/1060440889/", 1060440889)</f>
        <v>1060440889</v>
      </c>
      <c r="E20" s="3">
        <v>7444.99</v>
      </c>
    </row>
    <row r="21" spans="1:5" x14ac:dyDescent="0.25">
      <c r="A21" s="3" t="s">
        <v>5</v>
      </c>
      <c r="B21" s="3" t="s">
        <v>71</v>
      </c>
      <c r="C21" s="3" t="s">
        <v>125</v>
      </c>
      <c r="D21" s="4">
        <f>HYPERLINK("https://cao.dolgi.msk.ru/account/1060440897/", 1060440897)</f>
        <v>1060440897</v>
      </c>
      <c r="E21" s="3">
        <v>10102.49</v>
      </c>
    </row>
    <row r="22" spans="1:5" x14ac:dyDescent="0.25">
      <c r="A22" s="3" t="s">
        <v>5</v>
      </c>
      <c r="B22" s="3" t="s">
        <v>129</v>
      </c>
      <c r="C22" s="3" t="s">
        <v>140</v>
      </c>
      <c r="D22" s="4">
        <f>HYPERLINK("https://cao.dolgi.msk.ru/account/1060200199/", 1060200199)</f>
        <v>1060200199</v>
      </c>
      <c r="E22" s="3">
        <v>6648.65</v>
      </c>
    </row>
    <row r="23" spans="1:5" x14ac:dyDescent="0.25">
      <c r="A23" s="3" t="s">
        <v>5</v>
      </c>
      <c r="B23" s="3" t="s">
        <v>129</v>
      </c>
      <c r="C23" s="3" t="s">
        <v>143</v>
      </c>
      <c r="D23" s="4">
        <f>HYPERLINK("https://cao.dolgi.msk.ru/account/1060200236/", 1060200236)</f>
        <v>1060200236</v>
      </c>
      <c r="E23" s="3">
        <v>14000.11</v>
      </c>
    </row>
    <row r="24" spans="1:5" x14ac:dyDescent="0.25">
      <c r="A24" s="3" t="s">
        <v>5</v>
      </c>
      <c r="B24" s="3" t="s">
        <v>129</v>
      </c>
      <c r="C24" s="3" t="s">
        <v>16</v>
      </c>
      <c r="D24" s="4">
        <f>HYPERLINK("https://cao.dolgi.msk.ru/account/1060200324/", 1060200324)</f>
        <v>1060200324</v>
      </c>
      <c r="E24" s="3">
        <v>37554.120000000003</v>
      </c>
    </row>
    <row r="25" spans="1:5" x14ac:dyDescent="0.25">
      <c r="A25" s="3" t="s">
        <v>5</v>
      </c>
      <c r="B25" s="3" t="s">
        <v>129</v>
      </c>
      <c r="C25" s="3" t="s">
        <v>28</v>
      </c>
      <c r="D25" s="4">
        <f>HYPERLINK("https://cao.dolgi.msk.ru/account/1060200463/", 1060200463)</f>
        <v>1060200463</v>
      </c>
      <c r="E25" s="3">
        <v>50183.8</v>
      </c>
    </row>
    <row r="26" spans="1:5" x14ac:dyDescent="0.25">
      <c r="A26" s="3" t="s">
        <v>5</v>
      </c>
      <c r="B26" s="3" t="s">
        <v>129</v>
      </c>
      <c r="C26" s="3" t="s">
        <v>33</v>
      </c>
      <c r="D26" s="4">
        <f>HYPERLINK("https://cao.dolgi.msk.ru/account/1060200527/", 1060200527)</f>
        <v>1060200527</v>
      </c>
      <c r="E26" s="3">
        <v>5298.29</v>
      </c>
    </row>
    <row r="27" spans="1:5" x14ac:dyDescent="0.25">
      <c r="A27" s="3" t="s">
        <v>5</v>
      </c>
      <c r="B27" s="3" t="s">
        <v>129</v>
      </c>
      <c r="C27" s="3" t="s">
        <v>47</v>
      </c>
      <c r="D27" s="4">
        <f>HYPERLINK("https://cao.dolgi.msk.ru/account/1060200682/", 1060200682)</f>
        <v>1060200682</v>
      </c>
      <c r="E27" s="3">
        <v>1844.01</v>
      </c>
    </row>
    <row r="28" spans="1:5" x14ac:dyDescent="0.25">
      <c r="A28" s="3" t="s">
        <v>5</v>
      </c>
      <c r="B28" s="3" t="s">
        <v>129</v>
      </c>
      <c r="C28" s="3" t="s">
        <v>58</v>
      </c>
      <c r="D28" s="4">
        <f>HYPERLINK("https://cao.dolgi.msk.ru/account/1060200826/", 1060200826)</f>
        <v>1060200826</v>
      </c>
      <c r="E28" s="3">
        <v>18957.060000000001</v>
      </c>
    </row>
    <row r="29" spans="1:5" x14ac:dyDescent="0.25">
      <c r="A29" s="3" t="s">
        <v>5</v>
      </c>
      <c r="B29" s="3" t="s">
        <v>129</v>
      </c>
      <c r="C29" s="3" t="s">
        <v>77</v>
      </c>
      <c r="D29" s="4">
        <f>HYPERLINK("https://cao.dolgi.msk.ru/account/1060200981/", 1060200981)</f>
        <v>1060200981</v>
      </c>
      <c r="E29" s="3">
        <v>5346.62</v>
      </c>
    </row>
    <row r="30" spans="1:5" x14ac:dyDescent="0.25">
      <c r="A30" s="3" t="s">
        <v>5</v>
      </c>
      <c r="B30" s="3" t="s">
        <v>129</v>
      </c>
      <c r="C30" s="3" t="s">
        <v>87</v>
      </c>
      <c r="D30" s="4">
        <f>HYPERLINK("https://cao.dolgi.msk.ru/account/1060201116/", 1060201116)</f>
        <v>1060201116</v>
      </c>
      <c r="E30" s="3">
        <v>6034.03</v>
      </c>
    </row>
    <row r="31" spans="1:5" x14ac:dyDescent="0.25">
      <c r="A31" s="3" t="s">
        <v>5</v>
      </c>
      <c r="B31" s="3" t="s">
        <v>129</v>
      </c>
      <c r="C31" s="3" t="s">
        <v>94</v>
      </c>
      <c r="D31" s="4">
        <f>HYPERLINK("https://cao.dolgi.msk.ru/account/1060201191/", 1060201191)</f>
        <v>1060201191</v>
      </c>
      <c r="E31" s="3">
        <v>28464.71</v>
      </c>
    </row>
    <row r="32" spans="1:5" x14ac:dyDescent="0.25">
      <c r="A32" s="3" t="s">
        <v>5</v>
      </c>
      <c r="B32" s="3" t="s">
        <v>129</v>
      </c>
      <c r="C32" s="3" t="s">
        <v>147</v>
      </c>
      <c r="D32" s="4">
        <f>HYPERLINK("https://cao.dolgi.msk.ru/account/1060201343/", 1060201343)</f>
        <v>1060201343</v>
      </c>
      <c r="E32" s="3">
        <v>18053.05</v>
      </c>
    </row>
    <row r="33" spans="1:5" x14ac:dyDescent="0.25">
      <c r="A33" s="3" t="s">
        <v>5</v>
      </c>
      <c r="B33" s="3" t="s">
        <v>129</v>
      </c>
      <c r="C33" s="3" t="s">
        <v>148</v>
      </c>
      <c r="D33" s="4">
        <f>HYPERLINK("https://cao.dolgi.msk.ru/account/1060201351/", 1060201351)</f>
        <v>1060201351</v>
      </c>
      <c r="E33" s="3">
        <v>5934.37</v>
      </c>
    </row>
    <row r="34" spans="1:5" x14ac:dyDescent="0.25">
      <c r="A34" s="3" t="s">
        <v>5</v>
      </c>
      <c r="B34" s="3" t="s">
        <v>129</v>
      </c>
      <c r="C34" s="3" t="s">
        <v>115</v>
      </c>
      <c r="D34" s="4">
        <f>HYPERLINK("https://cao.dolgi.msk.ru/account/1060201482/", 1060201482)</f>
        <v>1060201482</v>
      </c>
      <c r="E34" s="3">
        <v>2574.81</v>
      </c>
    </row>
    <row r="35" spans="1:5" x14ac:dyDescent="0.25">
      <c r="A35" s="3" t="s">
        <v>5</v>
      </c>
      <c r="B35" s="3" t="s">
        <v>129</v>
      </c>
      <c r="C35" s="3" t="s">
        <v>154</v>
      </c>
      <c r="D35" s="4">
        <f>HYPERLINK("https://cao.dolgi.msk.ru/account/1060201597/", 1060201597)</f>
        <v>1060201597</v>
      </c>
      <c r="E35" s="3">
        <v>28319.8</v>
      </c>
    </row>
    <row r="36" spans="1:5" x14ac:dyDescent="0.25">
      <c r="A36" s="3" t="s">
        <v>5</v>
      </c>
      <c r="B36" s="3" t="s">
        <v>129</v>
      </c>
      <c r="C36" s="3" t="s">
        <v>157</v>
      </c>
      <c r="D36" s="4">
        <f>HYPERLINK("https://cao.dolgi.msk.ru/account/1060201634/", 1060201634)</f>
        <v>1060201634</v>
      </c>
      <c r="E36" s="3">
        <v>34044.46</v>
      </c>
    </row>
    <row r="37" spans="1:5" x14ac:dyDescent="0.25">
      <c r="A37" s="3" t="s">
        <v>5</v>
      </c>
      <c r="B37" s="3" t="s">
        <v>129</v>
      </c>
      <c r="C37" s="3" t="s">
        <v>179</v>
      </c>
      <c r="D37" s="4">
        <f>HYPERLINK("https://cao.dolgi.msk.ru/account/1060201909/", 1060201909)</f>
        <v>1060201909</v>
      </c>
      <c r="E37" s="3">
        <v>64267.7</v>
      </c>
    </row>
    <row r="38" spans="1:5" x14ac:dyDescent="0.25">
      <c r="A38" s="3" t="s">
        <v>5</v>
      </c>
      <c r="B38" s="3" t="s">
        <v>129</v>
      </c>
      <c r="C38" s="3" t="s">
        <v>181</v>
      </c>
      <c r="D38" s="4">
        <f>HYPERLINK("https://cao.dolgi.msk.ru/account/1060201925/", 1060201925)</f>
        <v>1060201925</v>
      </c>
      <c r="E38" s="3">
        <v>27547.84</v>
      </c>
    </row>
    <row r="39" spans="1:5" x14ac:dyDescent="0.25">
      <c r="A39" s="3" t="s">
        <v>5</v>
      </c>
      <c r="B39" s="3" t="s">
        <v>129</v>
      </c>
      <c r="C39" s="3" t="s">
        <v>194</v>
      </c>
      <c r="D39" s="4">
        <f>HYPERLINK("https://cao.dolgi.msk.ru/account/1060202071/", 1060202071)</f>
        <v>1060202071</v>
      </c>
      <c r="E39" s="3">
        <v>11912.48</v>
      </c>
    </row>
    <row r="40" spans="1:5" x14ac:dyDescent="0.25">
      <c r="A40" s="3" t="s">
        <v>5</v>
      </c>
      <c r="B40" s="3" t="s">
        <v>129</v>
      </c>
      <c r="C40" s="3" t="s">
        <v>197</v>
      </c>
      <c r="D40" s="4">
        <f>HYPERLINK("https://cao.dolgi.msk.ru/account/1060202127/", 1060202127)</f>
        <v>1060202127</v>
      </c>
      <c r="E40" s="3">
        <v>13299.21</v>
      </c>
    </row>
    <row r="41" spans="1:5" x14ac:dyDescent="0.25">
      <c r="A41" s="3" t="s">
        <v>5</v>
      </c>
      <c r="B41" s="3" t="s">
        <v>129</v>
      </c>
      <c r="C41" s="3" t="s">
        <v>199</v>
      </c>
      <c r="D41" s="4">
        <f>HYPERLINK("https://cao.dolgi.msk.ru/account/1060202143/", 1060202143)</f>
        <v>1060202143</v>
      </c>
      <c r="E41" s="3">
        <v>121799.43</v>
      </c>
    </row>
    <row r="42" spans="1:5" x14ac:dyDescent="0.25">
      <c r="A42" s="3" t="s">
        <v>5</v>
      </c>
      <c r="B42" s="3" t="s">
        <v>129</v>
      </c>
      <c r="C42" s="3" t="s">
        <v>202</v>
      </c>
      <c r="D42" s="4">
        <f>HYPERLINK("https://cao.dolgi.msk.ru/account/1060202186/", 1060202186)</f>
        <v>1060202186</v>
      </c>
      <c r="E42" s="3">
        <v>18610.52</v>
      </c>
    </row>
    <row r="43" spans="1:5" x14ac:dyDescent="0.25">
      <c r="A43" s="3" t="s">
        <v>5</v>
      </c>
      <c r="B43" s="3" t="s">
        <v>205</v>
      </c>
      <c r="C43" s="3" t="s">
        <v>139</v>
      </c>
      <c r="D43" s="4">
        <f>HYPERLINK("https://cao.dolgi.msk.ru/account/1060441208/", 1060441208)</f>
        <v>1060441208</v>
      </c>
      <c r="E43" s="3">
        <v>7865.22</v>
      </c>
    </row>
    <row r="44" spans="1:5" x14ac:dyDescent="0.25">
      <c r="A44" s="3" t="s">
        <v>5</v>
      </c>
      <c r="B44" s="3" t="s">
        <v>205</v>
      </c>
      <c r="C44" s="3" t="s">
        <v>141</v>
      </c>
      <c r="D44" s="4">
        <f>HYPERLINK("https://cao.dolgi.msk.ru/account/1060441224/", 1060441224)</f>
        <v>1060441224</v>
      </c>
      <c r="E44" s="3">
        <v>10901.27</v>
      </c>
    </row>
    <row r="45" spans="1:5" x14ac:dyDescent="0.25">
      <c r="A45" s="3" t="s">
        <v>5</v>
      </c>
      <c r="B45" s="3" t="s">
        <v>205</v>
      </c>
      <c r="C45" s="3" t="s">
        <v>143</v>
      </c>
      <c r="D45" s="4">
        <f>HYPERLINK("https://cao.dolgi.msk.ru/account/1060441259/", 1060441259)</f>
        <v>1060441259</v>
      </c>
      <c r="E45" s="3">
        <v>11769.58</v>
      </c>
    </row>
    <row r="46" spans="1:5" x14ac:dyDescent="0.25">
      <c r="A46" s="3" t="s">
        <v>5</v>
      </c>
      <c r="B46" s="3" t="s">
        <v>205</v>
      </c>
      <c r="C46" s="3" t="s">
        <v>12</v>
      </c>
      <c r="D46" s="4">
        <f>HYPERLINK("https://cao.dolgi.msk.ru/account/1060441291/", 1060441291)</f>
        <v>1060441291</v>
      </c>
      <c r="E46" s="3">
        <v>6587.57</v>
      </c>
    </row>
    <row r="47" spans="1:5" x14ac:dyDescent="0.25">
      <c r="A47" s="3" t="s">
        <v>5</v>
      </c>
      <c r="B47" s="3" t="s">
        <v>205</v>
      </c>
      <c r="C47" s="3" t="s">
        <v>19</v>
      </c>
      <c r="D47" s="4">
        <f>HYPERLINK("https://cao.dolgi.msk.ru/account/1060441371/", 1060441371)</f>
        <v>1060441371</v>
      </c>
      <c r="E47" s="3">
        <v>11003.78</v>
      </c>
    </row>
    <row r="48" spans="1:5" x14ac:dyDescent="0.25">
      <c r="A48" s="3" t="s">
        <v>5</v>
      </c>
      <c r="B48" s="3" t="s">
        <v>205</v>
      </c>
      <c r="C48" s="3" t="s">
        <v>37</v>
      </c>
      <c r="D48" s="4">
        <f>HYPERLINK("https://cao.dolgi.msk.ru/account/1060441582/", 1060441582)</f>
        <v>1060441582</v>
      </c>
      <c r="E48" s="3">
        <v>17987.53</v>
      </c>
    </row>
    <row r="49" spans="1:5" x14ac:dyDescent="0.25">
      <c r="A49" s="3" t="s">
        <v>5</v>
      </c>
      <c r="B49" s="3" t="s">
        <v>205</v>
      </c>
      <c r="C49" s="3" t="s">
        <v>78</v>
      </c>
      <c r="D49" s="4">
        <f>HYPERLINK("https://cao.dolgi.msk.ru/account/1060442024/", 1060442024)</f>
        <v>1060442024</v>
      </c>
      <c r="E49" s="3">
        <v>23516.06</v>
      </c>
    </row>
    <row r="50" spans="1:5" x14ac:dyDescent="0.25">
      <c r="A50" s="3" t="s">
        <v>5</v>
      </c>
      <c r="B50" s="3" t="s">
        <v>205</v>
      </c>
      <c r="C50" s="3" t="s">
        <v>91</v>
      </c>
      <c r="D50" s="4">
        <f>HYPERLINK("https://cao.dolgi.msk.ru/account/1060442163/", 1060442163)</f>
        <v>1060442163</v>
      </c>
      <c r="E50" s="3">
        <v>10418.57</v>
      </c>
    </row>
    <row r="51" spans="1:5" x14ac:dyDescent="0.25">
      <c r="A51" s="3" t="s">
        <v>5</v>
      </c>
      <c r="B51" s="3" t="s">
        <v>205</v>
      </c>
      <c r="C51" s="3" t="s">
        <v>94</v>
      </c>
      <c r="D51" s="4">
        <f>HYPERLINK("https://cao.dolgi.msk.ru/account/1060442227/", 1060442227)</f>
        <v>1060442227</v>
      </c>
      <c r="E51" s="3">
        <v>8560.57</v>
      </c>
    </row>
    <row r="52" spans="1:5" x14ac:dyDescent="0.25">
      <c r="A52" s="3" t="s">
        <v>5</v>
      </c>
      <c r="B52" s="3" t="s">
        <v>206</v>
      </c>
      <c r="C52" s="3" t="s">
        <v>7</v>
      </c>
      <c r="D52" s="4">
        <f>HYPERLINK("https://cao.dolgi.msk.ru/account/1060442585/", 1060442585)</f>
        <v>1060442585</v>
      </c>
      <c r="E52" s="3">
        <v>18817.09</v>
      </c>
    </row>
    <row r="53" spans="1:5" x14ac:dyDescent="0.25">
      <c r="A53" s="3" t="s">
        <v>5</v>
      </c>
      <c r="B53" s="3" t="s">
        <v>206</v>
      </c>
      <c r="C53" s="3" t="s">
        <v>11</v>
      </c>
      <c r="D53" s="4">
        <f>HYPERLINK("https://cao.dolgi.msk.ru/account/1060442606/", 1060442606)</f>
        <v>1060442606</v>
      </c>
      <c r="E53" s="3">
        <v>34809.96</v>
      </c>
    </row>
    <row r="54" spans="1:5" x14ac:dyDescent="0.25">
      <c r="A54" s="3" t="s">
        <v>5</v>
      </c>
      <c r="B54" s="3" t="s">
        <v>206</v>
      </c>
      <c r="C54" s="3" t="s">
        <v>23</v>
      </c>
      <c r="D54" s="4">
        <f>HYPERLINK("https://cao.dolgi.msk.ru/account/1060442753/", 1060442753)</f>
        <v>1060442753</v>
      </c>
      <c r="E54" s="3">
        <v>8196.98</v>
      </c>
    </row>
    <row r="55" spans="1:5" x14ac:dyDescent="0.25">
      <c r="A55" s="3" t="s">
        <v>5</v>
      </c>
      <c r="B55" s="3" t="s">
        <v>206</v>
      </c>
      <c r="C55" s="3" t="s">
        <v>43</v>
      </c>
      <c r="D55" s="4">
        <f>HYPERLINK("https://cao.dolgi.msk.ru/account/1060442972/", 1060442972)</f>
        <v>1060442972</v>
      </c>
      <c r="E55" s="3">
        <v>58085.83</v>
      </c>
    </row>
    <row r="56" spans="1:5" x14ac:dyDescent="0.25">
      <c r="A56" s="3" t="s">
        <v>5</v>
      </c>
      <c r="B56" s="3" t="s">
        <v>206</v>
      </c>
      <c r="C56" s="3" t="s">
        <v>46</v>
      </c>
      <c r="D56" s="4">
        <f>HYPERLINK("https://cao.dolgi.msk.ru/account/1060443035/", 1060443035)</f>
        <v>1060443035</v>
      </c>
      <c r="E56" s="3">
        <v>3788.15</v>
      </c>
    </row>
    <row r="57" spans="1:5" x14ac:dyDescent="0.25">
      <c r="A57" s="3" t="s">
        <v>5</v>
      </c>
      <c r="B57" s="3" t="s">
        <v>206</v>
      </c>
      <c r="C57" s="3" t="s">
        <v>50</v>
      </c>
      <c r="D57" s="4">
        <f>HYPERLINK("https://cao.dolgi.msk.ru/account/1060443086/", 1060443086)</f>
        <v>1060443086</v>
      </c>
      <c r="E57" s="3">
        <v>4189.79</v>
      </c>
    </row>
    <row r="58" spans="1:5" x14ac:dyDescent="0.25">
      <c r="A58" s="3" t="s">
        <v>5</v>
      </c>
      <c r="B58" s="3" t="s">
        <v>206</v>
      </c>
      <c r="C58" s="3" t="s">
        <v>79</v>
      </c>
      <c r="D58" s="4">
        <f>HYPERLINK("https://cao.dolgi.msk.ru/account/1060443377/", 1060443377)</f>
        <v>1060443377</v>
      </c>
      <c r="E58" s="3">
        <v>14205.9</v>
      </c>
    </row>
    <row r="59" spans="1:5" x14ac:dyDescent="0.25">
      <c r="A59" s="3" t="s">
        <v>5</v>
      </c>
      <c r="B59" s="3" t="s">
        <v>206</v>
      </c>
      <c r="C59" s="3" t="s">
        <v>83</v>
      </c>
      <c r="D59" s="4">
        <f>HYPERLINK("https://cao.dolgi.msk.ru/account/1060443414/", 1060443414)</f>
        <v>1060443414</v>
      </c>
      <c r="E59" s="3">
        <v>10245.58</v>
      </c>
    </row>
    <row r="60" spans="1:5" x14ac:dyDescent="0.25">
      <c r="A60" s="3" t="s">
        <v>5</v>
      </c>
      <c r="B60" s="3" t="s">
        <v>206</v>
      </c>
      <c r="C60" s="3" t="s">
        <v>86</v>
      </c>
      <c r="D60" s="4">
        <f>HYPERLINK("https://cao.dolgi.msk.ru/account/1060443457/", 1060443457)</f>
        <v>1060443457</v>
      </c>
      <c r="E60" s="3">
        <v>164670.87</v>
      </c>
    </row>
    <row r="61" spans="1:5" x14ac:dyDescent="0.25">
      <c r="A61" s="3" t="s">
        <v>5</v>
      </c>
      <c r="B61" s="3" t="s">
        <v>206</v>
      </c>
      <c r="C61" s="3" t="s">
        <v>99</v>
      </c>
      <c r="D61" s="4">
        <f>HYPERLINK("https://cao.dolgi.msk.ru/account/1060815871/", 1060815871)</f>
        <v>1060815871</v>
      </c>
      <c r="E61" s="3">
        <v>90786.05</v>
      </c>
    </row>
    <row r="62" spans="1:5" x14ac:dyDescent="0.25">
      <c r="A62" s="3" t="s">
        <v>5</v>
      </c>
      <c r="B62" s="3" t="s">
        <v>206</v>
      </c>
      <c r="C62" s="3" t="s">
        <v>102</v>
      </c>
      <c r="D62" s="4">
        <f>HYPERLINK("https://cao.dolgi.msk.ru/account/1060443668/", 1060443668)</f>
        <v>1060443668</v>
      </c>
      <c r="E62" s="3">
        <v>10056.43</v>
      </c>
    </row>
    <row r="63" spans="1:5" x14ac:dyDescent="0.25">
      <c r="A63" s="3" t="s">
        <v>5</v>
      </c>
      <c r="B63" s="3" t="s">
        <v>207</v>
      </c>
      <c r="C63" s="3" t="s">
        <v>139</v>
      </c>
      <c r="D63" s="4">
        <f>HYPERLINK("https://cao.dolgi.msk.ru/account/1060577279/", 1060577279)</f>
        <v>1060577279</v>
      </c>
      <c r="E63" s="3">
        <v>11174.77</v>
      </c>
    </row>
    <row r="64" spans="1:5" x14ac:dyDescent="0.25">
      <c r="A64" s="3" t="s">
        <v>5</v>
      </c>
      <c r="B64" s="3" t="s">
        <v>207</v>
      </c>
      <c r="C64" s="3" t="s">
        <v>7</v>
      </c>
      <c r="D64" s="4">
        <f>HYPERLINK("https://cao.dolgi.msk.ru/account/1069134626/", 1069134626)</f>
        <v>1069134626</v>
      </c>
      <c r="E64" s="3">
        <v>186991.57</v>
      </c>
    </row>
    <row r="65" spans="1:5" x14ac:dyDescent="0.25">
      <c r="A65" s="3" t="s">
        <v>5</v>
      </c>
      <c r="B65" s="3" t="s">
        <v>207</v>
      </c>
      <c r="C65" s="3" t="s">
        <v>10</v>
      </c>
      <c r="D65" s="4">
        <f>HYPERLINK("https://cao.dolgi.msk.ru/account/1060577359/", 1060577359)</f>
        <v>1060577359</v>
      </c>
      <c r="E65" s="3">
        <v>9064.93</v>
      </c>
    </row>
    <row r="66" spans="1:5" x14ac:dyDescent="0.25">
      <c r="A66" s="3" t="s">
        <v>5</v>
      </c>
      <c r="B66" s="3" t="s">
        <v>208</v>
      </c>
      <c r="C66" s="3" t="s">
        <v>30</v>
      </c>
      <c r="D66" s="4">
        <f>HYPERLINK("https://cao.dolgi.msk.ru/account/1060500044/", 1060500044)</f>
        <v>1060500044</v>
      </c>
      <c r="E66" s="3">
        <v>29710.33</v>
      </c>
    </row>
    <row r="67" spans="1:5" x14ac:dyDescent="0.25">
      <c r="A67" s="3" t="s">
        <v>5</v>
      </c>
      <c r="B67" s="3" t="s">
        <v>208</v>
      </c>
      <c r="C67" s="3" t="s">
        <v>139</v>
      </c>
      <c r="D67" s="4">
        <f>HYPERLINK("https://cao.dolgi.msk.ru/account/1060500204/", 1060500204)</f>
        <v>1060500204</v>
      </c>
      <c r="E67" s="3">
        <v>14609.35</v>
      </c>
    </row>
    <row r="68" spans="1:5" x14ac:dyDescent="0.25">
      <c r="A68" s="3" t="s">
        <v>5</v>
      </c>
      <c r="B68" s="3" t="s">
        <v>208</v>
      </c>
      <c r="C68" s="3" t="s">
        <v>13</v>
      </c>
      <c r="D68" s="4">
        <f>HYPERLINK("https://cao.dolgi.msk.ru/account/1060500343/", 1060500343)</f>
        <v>1060500343</v>
      </c>
      <c r="E68" s="3">
        <v>9788.8700000000008</v>
      </c>
    </row>
    <row r="69" spans="1:5" x14ac:dyDescent="0.25">
      <c r="A69" s="3" t="s">
        <v>5</v>
      </c>
      <c r="B69" s="3" t="s">
        <v>208</v>
      </c>
      <c r="C69" s="3" t="s">
        <v>17</v>
      </c>
      <c r="D69" s="4">
        <f>HYPERLINK("https://cao.dolgi.msk.ru/account/1060500394/", 1060500394)</f>
        <v>1060500394</v>
      </c>
      <c r="E69" s="3">
        <v>61200.74</v>
      </c>
    </row>
    <row r="70" spans="1:5" x14ac:dyDescent="0.25">
      <c r="A70" s="3" t="s">
        <v>5</v>
      </c>
      <c r="B70" s="3" t="s">
        <v>208</v>
      </c>
      <c r="C70" s="3" t="s">
        <v>20</v>
      </c>
      <c r="D70" s="4">
        <f>HYPERLINK("https://cao.dolgi.msk.ru/account/1060500423/", 1060500423)</f>
        <v>1060500423</v>
      </c>
      <c r="E70" s="3">
        <v>2391.73</v>
      </c>
    </row>
    <row r="71" spans="1:5" x14ac:dyDescent="0.25">
      <c r="A71" s="3" t="s">
        <v>5</v>
      </c>
      <c r="B71" s="3" t="s">
        <v>208</v>
      </c>
      <c r="C71" s="3" t="s">
        <v>28</v>
      </c>
      <c r="D71" s="4">
        <f>HYPERLINK("https://cao.dolgi.msk.ru/account/1060500546/", 1060500546)</f>
        <v>1060500546</v>
      </c>
      <c r="E71" s="3">
        <v>14116.28</v>
      </c>
    </row>
    <row r="72" spans="1:5" x14ac:dyDescent="0.25">
      <c r="A72" s="3" t="s">
        <v>5</v>
      </c>
      <c r="B72" s="3" t="s">
        <v>208</v>
      </c>
      <c r="C72" s="3" t="s">
        <v>40</v>
      </c>
      <c r="D72" s="4">
        <f>HYPERLINK("https://cao.dolgi.msk.ru/account/1060500685/", 1060500685)</f>
        <v>1060500685</v>
      </c>
      <c r="E72" s="3">
        <v>4293.2</v>
      </c>
    </row>
    <row r="73" spans="1:5" x14ac:dyDescent="0.25">
      <c r="A73" s="3" t="s">
        <v>5</v>
      </c>
      <c r="B73" s="3" t="s">
        <v>208</v>
      </c>
      <c r="C73" s="3" t="s">
        <v>49</v>
      </c>
      <c r="D73" s="4">
        <f>HYPERLINK("https://cao.dolgi.msk.ru/account/1060500802/", 1060500802)</f>
        <v>1060500802</v>
      </c>
      <c r="E73" s="3">
        <v>22437.24</v>
      </c>
    </row>
    <row r="74" spans="1:5" x14ac:dyDescent="0.25">
      <c r="A74" s="3" t="s">
        <v>5</v>
      </c>
      <c r="B74" s="3" t="s">
        <v>208</v>
      </c>
      <c r="C74" s="3" t="s">
        <v>55</v>
      </c>
      <c r="D74" s="4">
        <f>HYPERLINK("https://cao.dolgi.msk.ru/account/1060500861/", 1060500861)</f>
        <v>1060500861</v>
      </c>
      <c r="E74" s="3">
        <v>24073.16</v>
      </c>
    </row>
    <row r="75" spans="1:5" x14ac:dyDescent="0.25">
      <c r="A75" s="3" t="s">
        <v>5</v>
      </c>
      <c r="B75" s="3" t="s">
        <v>208</v>
      </c>
      <c r="C75" s="3" t="s">
        <v>74</v>
      </c>
      <c r="D75" s="4">
        <f>HYPERLINK("https://cao.dolgi.msk.ru/account/1060501047/", 1060501047)</f>
        <v>1060501047</v>
      </c>
      <c r="E75" s="3">
        <v>14123.49</v>
      </c>
    </row>
    <row r="76" spans="1:5" x14ac:dyDescent="0.25">
      <c r="A76" s="3" t="s">
        <v>5</v>
      </c>
      <c r="B76" s="3" t="s">
        <v>208</v>
      </c>
      <c r="C76" s="3" t="s">
        <v>79</v>
      </c>
      <c r="D76" s="4">
        <f>HYPERLINK("https://cao.dolgi.msk.ru/account/1060501098/", 1060501098)</f>
        <v>1060501098</v>
      </c>
      <c r="E76" s="3">
        <v>5673.06</v>
      </c>
    </row>
    <row r="77" spans="1:5" x14ac:dyDescent="0.25">
      <c r="A77" s="3" t="s">
        <v>5</v>
      </c>
      <c r="B77" s="3" t="s">
        <v>208</v>
      </c>
      <c r="C77" s="3" t="s">
        <v>80</v>
      </c>
      <c r="D77" s="4">
        <f>HYPERLINK("https://cao.dolgi.msk.ru/account/1060501119/", 1060501119)</f>
        <v>1060501119</v>
      </c>
      <c r="E77" s="3">
        <v>10929.46</v>
      </c>
    </row>
    <row r="78" spans="1:5" x14ac:dyDescent="0.25">
      <c r="A78" s="3" t="s">
        <v>5</v>
      </c>
      <c r="B78" s="3" t="s">
        <v>208</v>
      </c>
      <c r="C78" s="3" t="s">
        <v>82</v>
      </c>
      <c r="D78" s="4">
        <f>HYPERLINK("https://cao.dolgi.msk.ru/account/1060501143/", 1060501143)</f>
        <v>1060501143</v>
      </c>
      <c r="E78" s="3">
        <v>7613.03</v>
      </c>
    </row>
    <row r="79" spans="1:5" x14ac:dyDescent="0.25">
      <c r="A79" s="3" t="s">
        <v>5</v>
      </c>
      <c r="B79" s="3" t="s">
        <v>208</v>
      </c>
      <c r="C79" s="3" t="s">
        <v>84</v>
      </c>
      <c r="D79" s="4">
        <f>HYPERLINK("https://cao.dolgi.msk.ru/account/1060501178/", 1060501178)</f>
        <v>1060501178</v>
      </c>
      <c r="E79" s="3">
        <v>12204.42</v>
      </c>
    </row>
    <row r="80" spans="1:5" x14ac:dyDescent="0.25">
      <c r="A80" s="3" t="s">
        <v>5</v>
      </c>
      <c r="B80" s="3" t="s">
        <v>208</v>
      </c>
      <c r="C80" s="3" t="s">
        <v>85</v>
      </c>
      <c r="D80" s="4">
        <f>HYPERLINK("https://cao.dolgi.msk.ru/account/1060501186/", 1060501186)</f>
        <v>1060501186</v>
      </c>
      <c r="E80" s="3">
        <v>12829.15</v>
      </c>
    </row>
    <row r="81" spans="1:5" x14ac:dyDescent="0.25">
      <c r="A81" s="3" t="s">
        <v>5</v>
      </c>
      <c r="B81" s="3" t="s">
        <v>208</v>
      </c>
      <c r="C81" s="3" t="s">
        <v>92</v>
      </c>
      <c r="D81" s="4">
        <f>HYPERLINK("https://cao.dolgi.msk.ru/account/1060501266/", 1060501266)</f>
        <v>1060501266</v>
      </c>
      <c r="E81" s="3">
        <v>4715.75</v>
      </c>
    </row>
    <row r="82" spans="1:5" x14ac:dyDescent="0.25">
      <c r="A82" s="3" t="s">
        <v>5</v>
      </c>
      <c r="B82" s="3" t="s">
        <v>208</v>
      </c>
      <c r="C82" s="3" t="s">
        <v>103</v>
      </c>
      <c r="D82" s="4">
        <f>HYPERLINK("https://cao.dolgi.msk.ru/account/1060501389/", 1060501389)</f>
        <v>1060501389</v>
      </c>
      <c r="E82" s="3">
        <v>26260.91</v>
      </c>
    </row>
    <row r="83" spans="1:5" x14ac:dyDescent="0.25">
      <c r="A83" s="3" t="s">
        <v>5</v>
      </c>
      <c r="B83" s="3" t="s">
        <v>208</v>
      </c>
      <c r="C83" s="3" t="s">
        <v>116</v>
      </c>
      <c r="D83" s="4">
        <f>HYPERLINK("https://cao.dolgi.msk.ru/account/1060501573/", 1060501573)</f>
        <v>1060501573</v>
      </c>
      <c r="E83" s="3">
        <v>9012.89</v>
      </c>
    </row>
    <row r="84" spans="1:5" x14ac:dyDescent="0.25">
      <c r="A84" s="3" t="s">
        <v>5</v>
      </c>
      <c r="B84" s="3" t="s">
        <v>208</v>
      </c>
      <c r="C84" s="3" t="s">
        <v>157</v>
      </c>
      <c r="D84" s="4">
        <f>HYPERLINK("https://cao.dolgi.msk.ru/account/1060501696/", 1060501696)</f>
        <v>1060501696</v>
      </c>
      <c r="E84" s="3">
        <v>5651.26</v>
      </c>
    </row>
    <row r="85" spans="1:5" x14ac:dyDescent="0.25">
      <c r="A85" s="3" t="s">
        <v>5</v>
      </c>
      <c r="B85" s="3" t="s">
        <v>208</v>
      </c>
      <c r="C85" s="3" t="s">
        <v>163</v>
      </c>
      <c r="D85" s="4">
        <f>HYPERLINK("https://cao.dolgi.msk.ru/account/1060887728/", 1060887728)</f>
        <v>1060887728</v>
      </c>
      <c r="E85" s="3">
        <v>15183.46</v>
      </c>
    </row>
    <row r="86" spans="1:5" x14ac:dyDescent="0.25">
      <c r="A86" s="3" t="s">
        <v>5</v>
      </c>
      <c r="B86" s="3" t="s">
        <v>208</v>
      </c>
      <c r="C86" s="3" t="s">
        <v>168</v>
      </c>
      <c r="D86" s="4">
        <f>HYPERLINK("https://cao.dolgi.msk.ru/account/1060501805/", 1060501805)</f>
        <v>1060501805</v>
      </c>
      <c r="E86" s="3">
        <v>5964</v>
      </c>
    </row>
    <row r="87" spans="1:5" x14ac:dyDescent="0.25">
      <c r="A87" s="3" t="s">
        <v>5</v>
      </c>
      <c r="B87" s="3" t="s">
        <v>208</v>
      </c>
      <c r="C87" s="3" t="s">
        <v>176</v>
      </c>
      <c r="D87" s="4">
        <f>HYPERLINK("https://cao.dolgi.msk.ru/account/1060501901/", 1060501901)</f>
        <v>1060501901</v>
      </c>
      <c r="E87" s="3">
        <v>5745.39</v>
      </c>
    </row>
    <row r="88" spans="1:5" x14ac:dyDescent="0.25">
      <c r="A88" s="3" t="s">
        <v>5</v>
      </c>
      <c r="B88" s="3" t="s">
        <v>208</v>
      </c>
      <c r="C88" s="3" t="s">
        <v>177</v>
      </c>
      <c r="D88" s="4">
        <f>HYPERLINK("https://cao.dolgi.msk.ru/account/1060501928/", 1060501928)</f>
        <v>1060501928</v>
      </c>
      <c r="E88" s="3">
        <v>49376.82</v>
      </c>
    </row>
    <row r="89" spans="1:5" x14ac:dyDescent="0.25">
      <c r="A89" s="3" t="s">
        <v>5</v>
      </c>
      <c r="B89" s="3" t="s">
        <v>208</v>
      </c>
      <c r="C89" s="3" t="s">
        <v>188</v>
      </c>
      <c r="D89" s="4">
        <f>HYPERLINK("https://cao.dolgi.msk.ru/account/1060502058/", 1060502058)</f>
        <v>1060502058</v>
      </c>
      <c r="E89" s="3">
        <v>240490.38</v>
      </c>
    </row>
    <row r="90" spans="1:5" x14ac:dyDescent="0.25">
      <c r="A90" s="3" t="s">
        <v>5</v>
      </c>
      <c r="B90" s="3" t="s">
        <v>208</v>
      </c>
      <c r="C90" s="3" t="s">
        <v>191</v>
      </c>
      <c r="D90" s="4">
        <f>HYPERLINK("https://cao.dolgi.msk.ru/account/1060502082/", 1060502082)</f>
        <v>1060502082</v>
      </c>
      <c r="E90" s="3">
        <v>13578.53</v>
      </c>
    </row>
    <row r="91" spans="1:5" x14ac:dyDescent="0.25">
      <c r="A91" s="3" t="s">
        <v>5</v>
      </c>
      <c r="B91" s="3" t="s">
        <v>208</v>
      </c>
      <c r="C91" s="3" t="s">
        <v>195</v>
      </c>
      <c r="D91" s="4">
        <f>HYPERLINK("https://cao.dolgi.msk.ru/account/1060502146/", 1060502146)</f>
        <v>1060502146</v>
      </c>
      <c r="E91" s="3">
        <v>16203.03</v>
      </c>
    </row>
    <row r="92" spans="1:5" x14ac:dyDescent="0.25">
      <c r="A92" s="3" t="s">
        <v>5</v>
      </c>
      <c r="B92" s="3" t="s">
        <v>208</v>
      </c>
      <c r="C92" s="3" t="s">
        <v>224</v>
      </c>
      <c r="D92" s="4">
        <f>HYPERLINK("https://cao.dolgi.msk.ru/account/1060502488/", 1060502488)</f>
        <v>1060502488</v>
      </c>
      <c r="E92" s="3">
        <v>103954.06</v>
      </c>
    </row>
    <row r="93" spans="1:5" x14ac:dyDescent="0.25">
      <c r="A93" s="3" t="s">
        <v>5</v>
      </c>
      <c r="B93" s="3" t="s">
        <v>208</v>
      </c>
      <c r="C93" s="3" t="s">
        <v>225</v>
      </c>
      <c r="D93" s="4">
        <f>HYPERLINK("https://cao.dolgi.msk.ru/account/1060502496/", 1060502496)</f>
        <v>1060502496</v>
      </c>
      <c r="E93" s="3">
        <v>4122.6499999999996</v>
      </c>
    </row>
    <row r="94" spans="1:5" x14ac:dyDescent="0.25">
      <c r="A94" s="3" t="s">
        <v>5</v>
      </c>
      <c r="B94" s="3" t="s">
        <v>208</v>
      </c>
      <c r="C94" s="3" t="s">
        <v>228</v>
      </c>
      <c r="D94" s="4">
        <f>HYPERLINK("https://cao.dolgi.msk.ru/account/1060502525/", 1060502525)</f>
        <v>1060502525</v>
      </c>
      <c r="E94" s="3">
        <v>4553.75</v>
      </c>
    </row>
    <row r="95" spans="1:5" x14ac:dyDescent="0.25">
      <c r="A95" s="3" t="s">
        <v>5</v>
      </c>
      <c r="B95" s="3" t="s">
        <v>208</v>
      </c>
      <c r="C95" s="3" t="s">
        <v>236</v>
      </c>
      <c r="D95" s="4">
        <f>HYPERLINK("https://cao.dolgi.msk.ru/account/1060502621/", 1060502621)</f>
        <v>1060502621</v>
      </c>
      <c r="E95" s="3">
        <v>4772.3</v>
      </c>
    </row>
    <row r="96" spans="1:5" x14ac:dyDescent="0.25">
      <c r="A96" s="3" t="s">
        <v>5</v>
      </c>
      <c r="B96" s="3" t="s">
        <v>208</v>
      </c>
      <c r="C96" s="3" t="s">
        <v>239</v>
      </c>
      <c r="D96" s="4">
        <f>HYPERLINK("https://cao.dolgi.msk.ru/account/1060502672/", 1060502672)</f>
        <v>1060502672</v>
      </c>
      <c r="E96" s="3">
        <v>44359.33</v>
      </c>
    </row>
    <row r="97" spans="1:5" x14ac:dyDescent="0.25">
      <c r="A97" s="3" t="s">
        <v>5</v>
      </c>
      <c r="B97" s="3" t="s">
        <v>208</v>
      </c>
      <c r="C97" s="3" t="s">
        <v>240</v>
      </c>
      <c r="D97" s="4">
        <f>HYPERLINK("https://cao.dolgi.msk.ru/account/1060502699/", 1060502699)</f>
        <v>1060502699</v>
      </c>
      <c r="E97" s="3">
        <v>5587.12</v>
      </c>
    </row>
    <row r="98" spans="1:5" x14ac:dyDescent="0.25">
      <c r="A98" s="3" t="s">
        <v>5</v>
      </c>
      <c r="B98" s="3" t="s">
        <v>208</v>
      </c>
      <c r="C98" s="3" t="s">
        <v>245</v>
      </c>
      <c r="D98" s="4">
        <f>HYPERLINK("https://cao.dolgi.msk.ru/account/1060502752/", 1060502752)</f>
        <v>1060502752</v>
      </c>
      <c r="E98" s="3">
        <v>24853.03</v>
      </c>
    </row>
    <row r="99" spans="1:5" x14ac:dyDescent="0.25">
      <c r="A99" s="3" t="s">
        <v>5</v>
      </c>
      <c r="B99" s="3" t="s">
        <v>208</v>
      </c>
      <c r="C99" s="3" t="s">
        <v>246</v>
      </c>
      <c r="D99" s="4">
        <f>HYPERLINK("https://cao.dolgi.msk.ru/account/1060502779/", 1060502779)</f>
        <v>1060502779</v>
      </c>
      <c r="E99" s="3">
        <v>14666.42</v>
      </c>
    </row>
    <row r="100" spans="1:5" x14ac:dyDescent="0.25">
      <c r="A100" s="3" t="s">
        <v>5</v>
      </c>
      <c r="B100" s="3" t="s">
        <v>208</v>
      </c>
      <c r="C100" s="3" t="s">
        <v>250</v>
      </c>
      <c r="D100" s="4">
        <f>HYPERLINK("https://cao.dolgi.msk.ru/account/1060502816/", 1060502816)</f>
        <v>1060502816</v>
      </c>
      <c r="E100" s="3">
        <v>4537.08</v>
      </c>
    </row>
    <row r="101" spans="1:5" x14ac:dyDescent="0.25">
      <c r="A101" s="3" t="s">
        <v>5</v>
      </c>
      <c r="B101" s="3" t="s">
        <v>208</v>
      </c>
      <c r="C101" s="3" t="s">
        <v>266</v>
      </c>
      <c r="D101" s="4">
        <f>HYPERLINK("https://cao.dolgi.msk.ru/account/1060503077/", 1060503077)</f>
        <v>1060503077</v>
      </c>
      <c r="E101" s="3">
        <v>3756.44</v>
      </c>
    </row>
    <row r="102" spans="1:5" x14ac:dyDescent="0.25">
      <c r="A102" s="3" t="s">
        <v>5</v>
      </c>
      <c r="B102" s="3" t="s">
        <v>208</v>
      </c>
      <c r="C102" s="3" t="s">
        <v>292</v>
      </c>
      <c r="D102" s="4">
        <f>HYPERLINK("https://cao.dolgi.msk.ru/account/1060503456/", 1060503456)</f>
        <v>1060503456</v>
      </c>
      <c r="E102" s="3">
        <v>26010.05</v>
      </c>
    </row>
    <row r="103" spans="1:5" x14ac:dyDescent="0.25">
      <c r="A103" s="3" t="s">
        <v>5</v>
      </c>
      <c r="B103" s="3" t="s">
        <v>208</v>
      </c>
      <c r="C103" s="3" t="s">
        <v>294</v>
      </c>
      <c r="D103" s="4">
        <f>HYPERLINK("https://cao.dolgi.msk.ru/account/1060503472/", 1060503472)</f>
        <v>1060503472</v>
      </c>
      <c r="E103" s="3">
        <v>13177.76</v>
      </c>
    </row>
    <row r="104" spans="1:5" x14ac:dyDescent="0.25">
      <c r="A104" s="3" t="s">
        <v>5</v>
      </c>
      <c r="B104" s="3" t="s">
        <v>208</v>
      </c>
      <c r="C104" s="3" t="s">
        <v>297</v>
      </c>
      <c r="D104" s="4">
        <f>HYPERLINK("https://cao.dolgi.msk.ru/account/1060503536/", 1060503536)</f>
        <v>1060503536</v>
      </c>
      <c r="E104" s="3">
        <v>3994.87</v>
      </c>
    </row>
    <row r="105" spans="1:5" x14ac:dyDescent="0.25">
      <c r="A105" s="3" t="s">
        <v>5</v>
      </c>
      <c r="B105" s="3" t="s">
        <v>208</v>
      </c>
      <c r="C105" s="3" t="s">
        <v>298</v>
      </c>
      <c r="D105" s="4">
        <f>HYPERLINK("https://cao.dolgi.msk.ru/account/1060503544/", 1060503544)</f>
        <v>1060503544</v>
      </c>
      <c r="E105" s="3">
        <v>12532.48</v>
      </c>
    </row>
    <row r="106" spans="1:5" x14ac:dyDescent="0.25">
      <c r="A106" s="3" t="s">
        <v>5</v>
      </c>
      <c r="B106" s="3" t="s">
        <v>208</v>
      </c>
      <c r="C106" s="3" t="s">
        <v>299</v>
      </c>
      <c r="D106" s="4">
        <f>HYPERLINK("https://cao.dolgi.msk.ru/account/1060503587/", 1060503587)</f>
        <v>1060503587</v>
      </c>
      <c r="E106" s="3">
        <v>7643.82</v>
      </c>
    </row>
    <row r="107" spans="1:5" x14ac:dyDescent="0.25">
      <c r="A107" s="3" t="s">
        <v>5</v>
      </c>
      <c r="B107" s="3" t="s">
        <v>208</v>
      </c>
      <c r="C107" s="3" t="s">
        <v>300</v>
      </c>
      <c r="D107" s="4">
        <f>HYPERLINK("https://cao.dolgi.msk.ru/account/1060503608/", 1060503608)</f>
        <v>1060503608</v>
      </c>
      <c r="E107" s="3">
        <v>5185.22</v>
      </c>
    </row>
    <row r="108" spans="1:5" x14ac:dyDescent="0.25">
      <c r="A108" s="3" t="s">
        <v>5</v>
      </c>
      <c r="B108" s="3" t="s">
        <v>208</v>
      </c>
      <c r="C108" s="3" t="s">
        <v>70</v>
      </c>
      <c r="D108" s="4">
        <f>HYPERLINK("https://cao.dolgi.msk.ru/account/1060503659/", 1060503659)</f>
        <v>1060503659</v>
      </c>
      <c r="E108" s="3">
        <v>20462.37</v>
      </c>
    </row>
    <row r="109" spans="1:5" x14ac:dyDescent="0.25">
      <c r="A109" s="3" t="s">
        <v>5</v>
      </c>
      <c r="B109" s="3" t="s">
        <v>208</v>
      </c>
      <c r="C109" s="3" t="s">
        <v>120</v>
      </c>
      <c r="D109" s="4">
        <f>HYPERLINK("https://cao.dolgi.msk.ru/account/1060503691/", 1060503691)</f>
        <v>1060503691</v>
      </c>
      <c r="E109" s="3">
        <v>5483.14</v>
      </c>
    </row>
    <row r="110" spans="1:5" x14ac:dyDescent="0.25">
      <c r="A110" s="3" t="s">
        <v>5</v>
      </c>
      <c r="B110" s="3" t="s">
        <v>208</v>
      </c>
      <c r="C110" s="3" t="s">
        <v>308</v>
      </c>
      <c r="D110" s="4">
        <f>HYPERLINK("https://cao.dolgi.msk.ru/account/1060503894/", 1060503894)</f>
        <v>1060503894</v>
      </c>
      <c r="E110" s="3">
        <v>40273.4</v>
      </c>
    </row>
    <row r="111" spans="1:5" x14ac:dyDescent="0.25">
      <c r="A111" s="3" t="s">
        <v>5</v>
      </c>
      <c r="B111" s="3" t="s">
        <v>208</v>
      </c>
      <c r="C111" s="3" t="s">
        <v>332</v>
      </c>
      <c r="D111" s="4">
        <f>HYPERLINK("https://cao.dolgi.msk.ru/account/1060504301/", 1060504301)</f>
        <v>1060504301</v>
      </c>
      <c r="E111" s="3">
        <v>24895.46</v>
      </c>
    </row>
    <row r="112" spans="1:5" x14ac:dyDescent="0.25">
      <c r="A112" s="3" t="s">
        <v>5</v>
      </c>
      <c r="B112" s="3" t="s">
        <v>208</v>
      </c>
      <c r="C112" s="3" t="s">
        <v>334</v>
      </c>
      <c r="D112" s="4">
        <f>HYPERLINK("https://cao.dolgi.msk.ru/account/1060504344/", 1060504344)</f>
        <v>1060504344</v>
      </c>
      <c r="E112" s="3">
        <v>41314.050000000003</v>
      </c>
    </row>
    <row r="113" spans="1:5" x14ac:dyDescent="0.25">
      <c r="A113" s="3" t="s">
        <v>5</v>
      </c>
      <c r="B113" s="3" t="s">
        <v>208</v>
      </c>
      <c r="C113" s="3" t="s">
        <v>340</v>
      </c>
      <c r="D113" s="4">
        <f>HYPERLINK("https://cao.dolgi.msk.ru/account/1060504432/", 1060504432)</f>
        <v>1060504432</v>
      </c>
      <c r="E113" s="3">
        <v>9309.02</v>
      </c>
    </row>
    <row r="114" spans="1:5" x14ac:dyDescent="0.25">
      <c r="A114" s="3" t="s">
        <v>5</v>
      </c>
      <c r="B114" s="3" t="s">
        <v>208</v>
      </c>
      <c r="C114" s="3" t="s">
        <v>341</v>
      </c>
      <c r="D114" s="4">
        <f>HYPERLINK("https://cao.dolgi.msk.ru/account/1060504467/", 1060504467)</f>
        <v>1060504467</v>
      </c>
      <c r="E114" s="3">
        <v>5347.02</v>
      </c>
    </row>
    <row r="115" spans="1:5" x14ac:dyDescent="0.25">
      <c r="A115" s="3" t="s">
        <v>5</v>
      </c>
      <c r="B115" s="3" t="s">
        <v>208</v>
      </c>
      <c r="C115" s="3" t="s">
        <v>343</v>
      </c>
      <c r="D115" s="4">
        <f>HYPERLINK("https://cao.dolgi.msk.ru/account/1060504483/", 1060504483)</f>
        <v>1060504483</v>
      </c>
      <c r="E115" s="3">
        <v>21175.84</v>
      </c>
    </row>
    <row r="116" spans="1:5" x14ac:dyDescent="0.25">
      <c r="A116" s="3" t="s">
        <v>5</v>
      </c>
      <c r="B116" s="3" t="s">
        <v>208</v>
      </c>
      <c r="C116" s="3" t="s">
        <v>344</v>
      </c>
      <c r="D116" s="4">
        <f>HYPERLINK("https://cao.dolgi.msk.ru/account/1060504491/", 1060504491)</f>
        <v>1060504491</v>
      </c>
      <c r="E116" s="3">
        <v>11426.89</v>
      </c>
    </row>
    <row r="117" spans="1:5" x14ac:dyDescent="0.25">
      <c r="A117" s="3" t="s">
        <v>5</v>
      </c>
      <c r="B117" s="3" t="s">
        <v>208</v>
      </c>
      <c r="C117" s="3" t="s">
        <v>354</v>
      </c>
      <c r="D117" s="4">
        <f>HYPERLINK("https://cao.dolgi.msk.ru/account/1060504731/", 1060504731)</f>
        <v>1060504731</v>
      </c>
      <c r="E117" s="3">
        <v>427592.04</v>
      </c>
    </row>
    <row r="118" spans="1:5" x14ac:dyDescent="0.25">
      <c r="A118" s="3" t="s">
        <v>5</v>
      </c>
      <c r="B118" s="3" t="s">
        <v>208</v>
      </c>
      <c r="C118" s="3" t="s">
        <v>355</v>
      </c>
      <c r="D118" s="4">
        <f>HYPERLINK("https://cao.dolgi.msk.ru/account/1060504766/", 1060504766)</f>
        <v>1060504766</v>
      </c>
      <c r="E118" s="3">
        <v>8173.04</v>
      </c>
    </row>
    <row r="119" spans="1:5" x14ac:dyDescent="0.25">
      <c r="A119" s="3" t="s">
        <v>5</v>
      </c>
      <c r="B119" s="3" t="s">
        <v>208</v>
      </c>
      <c r="C119" s="3" t="s">
        <v>370</v>
      </c>
      <c r="D119" s="4">
        <f>HYPERLINK("https://cao.dolgi.msk.ru/account/1060505144/", 1060505144)</f>
        <v>1060505144</v>
      </c>
      <c r="E119" s="3">
        <v>52187.14</v>
      </c>
    </row>
    <row r="120" spans="1:5" x14ac:dyDescent="0.25">
      <c r="A120" s="3" t="s">
        <v>5</v>
      </c>
      <c r="B120" s="3" t="s">
        <v>208</v>
      </c>
      <c r="C120" s="3" t="s">
        <v>374</v>
      </c>
      <c r="D120" s="4">
        <f>HYPERLINK("https://cao.dolgi.msk.ru/account/1060505208/", 1060505208)</f>
        <v>1060505208</v>
      </c>
      <c r="E120" s="3">
        <v>41420.54</v>
      </c>
    </row>
    <row r="121" spans="1:5" x14ac:dyDescent="0.25">
      <c r="A121" s="3" t="s">
        <v>5</v>
      </c>
      <c r="B121" s="3" t="s">
        <v>208</v>
      </c>
      <c r="C121" s="3" t="s">
        <v>382</v>
      </c>
      <c r="D121" s="4">
        <f>HYPERLINK("https://cao.dolgi.msk.ru/account/1060505355/", 1060505355)</f>
        <v>1060505355</v>
      </c>
      <c r="E121" s="3">
        <v>15535.92</v>
      </c>
    </row>
    <row r="122" spans="1:5" x14ac:dyDescent="0.25">
      <c r="A122" s="3" t="s">
        <v>5</v>
      </c>
      <c r="B122" s="3" t="s">
        <v>208</v>
      </c>
      <c r="C122" s="3" t="s">
        <v>384</v>
      </c>
      <c r="D122" s="4">
        <f>HYPERLINK("https://cao.dolgi.msk.ru/account/1060505371/", 1060505371)</f>
        <v>1060505371</v>
      </c>
      <c r="E122" s="3">
        <v>18055.009999999998</v>
      </c>
    </row>
    <row r="123" spans="1:5" x14ac:dyDescent="0.25">
      <c r="A123" s="3" t="s">
        <v>5</v>
      </c>
      <c r="B123" s="3" t="s">
        <v>208</v>
      </c>
      <c r="C123" s="3" t="s">
        <v>386</v>
      </c>
      <c r="D123" s="4">
        <f>HYPERLINK("https://cao.dolgi.msk.ru/account/1060505435/", 1060505435)</f>
        <v>1060505435</v>
      </c>
      <c r="E123" s="3">
        <v>18338.75</v>
      </c>
    </row>
    <row r="124" spans="1:5" x14ac:dyDescent="0.25">
      <c r="A124" s="3" t="s">
        <v>5</v>
      </c>
      <c r="B124" s="3" t="s">
        <v>208</v>
      </c>
      <c r="C124" s="3" t="s">
        <v>388</v>
      </c>
      <c r="D124" s="4">
        <f>HYPERLINK("https://cao.dolgi.msk.ru/account/1060508185/", 1060508185)</f>
        <v>1060508185</v>
      </c>
      <c r="E124" s="3">
        <v>11705.2</v>
      </c>
    </row>
    <row r="125" spans="1:5" x14ac:dyDescent="0.25">
      <c r="A125" s="3" t="s">
        <v>5</v>
      </c>
      <c r="B125" s="3" t="s">
        <v>208</v>
      </c>
      <c r="C125" s="3" t="s">
        <v>400</v>
      </c>
      <c r="D125" s="4">
        <f>HYPERLINK("https://cao.dolgi.msk.ru/account/1060505793/", 1060505793)</f>
        <v>1060505793</v>
      </c>
      <c r="E125" s="3">
        <v>4251.09</v>
      </c>
    </row>
    <row r="126" spans="1:5" x14ac:dyDescent="0.25">
      <c r="A126" s="3" t="s">
        <v>5</v>
      </c>
      <c r="B126" s="3" t="s">
        <v>208</v>
      </c>
      <c r="C126" s="3" t="s">
        <v>401</v>
      </c>
      <c r="D126" s="4">
        <f>HYPERLINK("https://cao.dolgi.msk.ru/account/1060505806/", 1060505806)</f>
        <v>1060505806</v>
      </c>
      <c r="E126" s="3">
        <v>5795.6</v>
      </c>
    </row>
    <row r="127" spans="1:5" x14ac:dyDescent="0.25">
      <c r="A127" s="3" t="s">
        <v>5</v>
      </c>
      <c r="B127" s="3" t="s">
        <v>208</v>
      </c>
      <c r="C127" s="3" t="s">
        <v>414</v>
      </c>
      <c r="D127" s="4">
        <f>HYPERLINK("https://cao.dolgi.msk.ru/account/1060506024/", 1060506024)</f>
        <v>1060506024</v>
      </c>
      <c r="E127" s="3">
        <v>11451.29</v>
      </c>
    </row>
    <row r="128" spans="1:5" x14ac:dyDescent="0.25">
      <c r="A128" s="3" t="s">
        <v>5</v>
      </c>
      <c r="B128" s="3" t="s">
        <v>208</v>
      </c>
      <c r="C128" s="3" t="s">
        <v>422</v>
      </c>
      <c r="D128" s="4">
        <f>HYPERLINK("https://cao.dolgi.msk.ru/account/1060506227/", 1060506227)</f>
        <v>1060506227</v>
      </c>
      <c r="E128" s="3">
        <v>4025.69</v>
      </c>
    </row>
    <row r="129" spans="1:5" x14ac:dyDescent="0.25">
      <c r="A129" s="3" t="s">
        <v>5</v>
      </c>
      <c r="B129" s="3" t="s">
        <v>208</v>
      </c>
      <c r="C129" s="3" t="s">
        <v>423</v>
      </c>
      <c r="D129" s="4">
        <f>HYPERLINK("https://cao.dolgi.msk.ru/account/1060506243/", 1060506243)</f>
        <v>1060506243</v>
      </c>
      <c r="E129" s="3">
        <v>10909.96</v>
      </c>
    </row>
    <row r="130" spans="1:5" x14ac:dyDescent="0.25">
      <c r="A130" s="3" t="s">
        <v>5</v>
      </c>
      <c r="B130" s="3" t="s">
        <v>208</v>
      </c>
      <c r="C130" s="3" t="s">
        <v>425</v>
      </c>
      <c r="D130" s="4">
        <f>HYPERLINK("https://cao.dolgi.msk.ru/account/1060506358/", 1060506358)</f>
        <v>1060506358</v>
      </c>
      <c r="E130" s="3">
        <v>4081.69</v>
      </c>
    </row>
    <row r="131" spans="1:5" x14ac:dyDescent="0.25">
      <c r="A131" s="3" t="s">
        <v>5</v>
      </c>
      <c r="B131" s="3" t="s">
        <v>208</v>
      </c>
      <c r="C131" s="3" t="s">
        <v>429</v>
      </c>
      <c r="D131" s="4">
        <f>HYPERLINK("https://cao.dolgi.msk.ru/account/1060506542/", 1060506542)</f>
        <v>1060506542</v>
      </c>
      <c r="E131" s="3">
        <v>2880.27</v>
      </c>
    </row>
    <row r="132" spans="1:5" x14ac:dyDescent="0.25">
      <c r="A132" s="3" t="s">
        <v>5</v>
      </c>
      <c r="B132" s="3" t="s">
        <v>208</v>
      </c>
      <c r="C132" s="3" t="s">
        <v>430</v>
      </c>
      <c r="D132" s="4">
        <f>HYPERLINK("https://cao.dolgi.msk.ru/account/1060506593/", 1060506593)</f>
        <v>1060506593</v>
      </c>
      <c r="E132" s="3">
        <v>21718.36</v>
      </c>
    </row>
    <row r="133" spans="1:5" x14ac:dyDescent="0.25">
      <c r="A133" s="3" t="s">
        <v>5</v>
      </c>
      <c r="B133" s="3" t="s">
        <v>208</v>
      </c>
      <c r="C133" s="3" t="s">
        <v>431</v>
      </c>
      <c r="D133" s="4">
        <f>HYPERLINK("https://cao.dolgi.msk.ru/account/1060506729/", 1060506729)</f>
        <v>1060506729</v>
      </c>
      <c r="E133" s="3">
        <v>16243.82</v>
      </c>
    </row>
    <row r="134" spans="1:5" x14ac:dyDescent="0.25">
      <c r="A134" s="3" t="s">
        <v>5</v>
      </c>
      <c r="B134" s="3" t="s">
        <v>208</v>
      </c>
      <c r="C134" s="3" t="s">
        <v>432</v>
      </c>
      <c r="D134" s="4">
        <f>HYPERLINK("https://cao.dolgi.msk.ru/account/1060506737/", 1060506737)</f>
        <v>1060506737</v>
      </c>
      <c r="E134" s="3">
        <v>52315.3</v>
      </c>
    </row>
    <row r="135" spans="1:5" x14ac:dyDescent="0.25">
      <c r="A135" s="3" t="s">
        <v>5</v>
      </c>
      <c r="B135" s="3" t="s">
        <v>208</v>
      </c>
      <c r="C135" s="3" t="s">
        <v>433</v>
      </c>
      <c r="D135" s="4">
        <f>HYPERLINK("https://cao.dolgi.msk.ru/account/1060506753/", 1060506753)</f>
        <v>1060506753</v>
      </c>
      <c r="E135" s="3">
        <v>8379.6</v>
      </c>
    </row>
    <row r="136" spans="1:5" x14ac:dyDescent="0.25">
      <c r="A136" s="3" t="s">
        <v>5</v>
      </c>
      <c r="B136" s="3" t="s">
        <v>208</v>
      </c>
      <c r="C136" s="3" t="s">
        <v>435</v>
      </c>
      <c r="D136" s="4">
        <f>HYPERLINK("https://cao.dolgi.msk.ru/account/1060506809/", 1060506809)</f>
        <v>1060506809</v>
      </c>
      <c r="E136" s="3">
        <v>7530.61</v>
      </c>
    </row>
    <row r="137" spans="1:5" x14ac:dyDescent="0.25">
      <c r="A137" s="3" t="s">
        <v>5</v>
      </c>
      <c r="B137" s="3" t="s">
        <v>208</v>
      </c>
      <c r="C137" s="3" t="s">
        <v>436</v>
      </c>
      <c r="D137" s="4">
        <f>HYPERLINK("https://cao.dolgi.msk.ru/account/1060506825/", 1060506825)</f>
        <v>1060506825</v>
      </c>
      <c r="E137" s="3">
        <v>15857.4</v>
      </c>
    </row>
    <row r="138" spans="1:5" x14ac:dyDescent="0.25">
      <c r="A138" s="3" t="s">
        <v>5</v>
      </c>
      <c r="B138" s="3" t="s">
        <v>208</v>
      </c>
      <c r="C138" s="3" t="s">
        <v>436</v>
      </c>
      <c r="D138" s="4">
        <f>HYPERLINK("https://cao.dolgi.msk.ru/account/1060508273/", 1060508273)</f>
        <v>1060508273</v>
      </c>
      <c r="E138" s="3">
        <v>16733.46</v>
      </c>
    </row>
    <row r="139" spans="1:5" x14ac:dyDescent="0.25">
      <c r="A139" s="3" t="s">
        <v>5</v>
      </c>
      <c r="B139" s="3" t="s">
        <v>208</v>
      </c>
      <c r="C139" s="3" t="s">
        <v>437</v>
      </c>
      <c r="D139" s="4">
        <f>HYPERLINK("https://cao.dolgi.msk.ru/account/1060506833/", 1060506833)</f>
        <v>1060506833</v>
      </c>
      <c r="E139" s="3">
        <v>13350.84</v>
      </c>
    </row>
    <row r="140" spans="1:5" x14ac:dyDescent="0.25">
      <c r="A140" s="3" t="s">
        <v>5</v>
      </c>
      <c r="B140" s="3" t="s">
        <v>208</v>
      </c>
      <c r="C140" s="3" t="s">
        <v>438</v>
      </c>
      <c r="D140" s="4">
        <f>HYPERLINK("https://cao.dolgi.msk.ru/account/1060506884/", 1060506884)</f>
        <v>1060506884</v>
      </c>
      <c r="E140" s="3">
        <v>7238.79</v>
      </c>
    </row>
    <row r="141" spans="1:5" x14ac:dyDescent="0.25">
      <c r="A141" s="3" t="s">
        <v>5</v>
      </c>
      <c r="B141" s="3" t="s">
        <v>208</v>
      </c>
      <c r="C141" s="3" t="s">
        <v>439</v>
      </c>
      <c r="D141" s="4">
        <f>HYPERLINK("https://cao.dolgi.msk.ru/account/1060506964/", 1060506964)</f>
        <v>1060506964</v>
      </c>
      <c r="E141" s="3">
        <v>17848.45</v>
      </c>
    </row>
    <row r="142" spans="1:5" x14ac:dyDescent="0.25">
      <c r="A142" s="3" t="s">
        <v>5</v>
      </c>
      <c r="B142" s="3" t="s">
        <v>208</v>
      </c>
      <c r="C142" s="3" t="s">
        <v>440</v>
      </c>
      <c r="D142" s="4">
        <f>HYPERLINK("https://cao.dolgi.msk.ru/account/1060507019/", 1060507019)</f>
        <v>1060507019</v>
      </c>
      <c r="E142" s="3">
        <v>6806.91</v>
      </c>
    </row>
    <row r="143" spans="1:5" x14ac:dyDescent="0.25">
      <c r="A143" s="3" t="s">
        <v>5</v>
      </c>
      <c r="B143" s="3" t="s">
        <v>208</v>
      </c>
      <c r="C143" s="3" t="s">
        <v>441</v>
      </c>
      <c r="D143" s="4">
        <f>HYPERLINK("https://cao.dolgi.msk.ru/account/1060901729/", 1060901729)</f>
        <v>1060901729</v>
      </c>
      <c r="E143" s="3">
        <v>100728.88</v>
      </c>
    </row>
    <row r="144" spans="1:5" x14ac:dyDescent="0.25">
      <c r="A144" s="3" t="s">
        <v>5</v>
      </c>
      <c r="B144" s="3" t="s">
        <v>208</v>
      </c>
      <c r="C144" s="3" t="s">
        <v>442</v>
      </c>
      <c r="D144" s="4">
        <f>HYPERLINK("https://cao.dolgi.msk.ru/account/1060507043/", 1060507043)</f>
        <v>1060507043</v>
      </c>
      <c r="E144" s="3">
        <v>21260.27</v>
      </c>
    </row>
    <row r="145" spans="1:5" x14ac:dyDescent="0.25">
      <c r="A145" s="3" t="s">
        <v>5</v>
      </c>
      <c r="B145" s="3" t="s">
        <v>208</v>
      </c>
      <c r="C145" s="3" t="s">
        <v>443</v>
      </c>
      <c r="D145" s="4">
        <f>HYPERLINK("https://cao.dolgi.msk.ru/account/1060507123/", 1060507123)</f>
        <v>1060507123</v>
      </c>
      <c r="E145" s="3">
        <v>25383.34</v>
      </c>
    </row>
    <row r="146" spans="1:5" x14ac:dyDescent="0.25">
      <c r="A146" s="3" t="s">
        <v>5</v>
      </c>
      <c r="B146" s="3" t="s">
        <v>208</v>
      </c>
      <c r="C146" s="3" t="s">
        <v>444</v>
      </c>
      <c r="D146" s="4">
        <f>HYPERLINK("https://cao.dolgi.msk.ru/account/1060507406/", 1060507406)</f>
        <v>1060507406</v>
      </c>
      <c r="E146" s="3">
        <v>72396.34</v>
      </c>
    </row>
    <row r="147" spans="1:5" x14ac:dyDescent="0.25">
      <c r="A147" s="3" t="s">
        <v>5</v>
      </c>
      <c r="B147" s="3" t="s">
        <v>208</v>
      </c>
      <c r="C147" s="3" t="s">
        <v>445</v>
      </c>
      <c r="D147" s="4">
        <f>HYPERLINK("https://cao.dolgi.msk.ru/account/1060507457/", 1060507457)</f>
        <v>1060507457</v>
      </c>
      <c r="E147" s="3">
        <v>21545.37</v>
      </c>
    </row>
    <row r="148" spans="1:5" x14ac:dyDescent="0.25">
      <c r="A148" s="3" t="s">
        <v>5</v>
      </c>
      <c r="B148" s="3" t="s">
        <v>208</v>
      </c>
      <c r="C148" s="3" t="s">
        <v>446</v>
      </c>
      <c r="D148" s="4">
        <f>HYPERLINK("https://cao.dolgi.msk.ru/account/1060507545/", 1060507545)</f>
        <v>1060507545</v>
      </c>
      <c r="E148" s="3">
        <v>28146.9</v>
      </c>
    </row>
    <row r="149" spans="1:5" x14ac:dyDescent="0.25">
      <c r="A149" s="3" t="s">
        <v>5</v>
      </c>
      <c r="B149" s="3" t="s">
        <v>208</v>
      </c>
      <c r="C149" s="3" t="s">
        <v>447</v>
      </c>
      <c r="D149" s="4">
        <f>HYPERLINK("https://cao.dolgi.msk.ru/account/1060507879/", 1060507879)</f>
        <v>1060507879</v>
      </c>
      <c r="E149" s="3">
        <v>10314.66</v>
      </c>
    </row>
    <row r="150" spans="1:5" x14ac:dyDescent="0.25">
      <c r="A150" s="3" t="s">
        <v>5</v>
      </c>
      <c r="B150" s="3" t="s">
        <v>208</v>
      </c>
      <c r="C150" s="3" t="s">
        <v>448</v>
      </c>
      <c r="D150" s="4">
        <f>HYPERLINK("https://cao.dolgi.msk.ru/account/1060507991/", 1060507991)</f>
        <v>1060507991</v>
      </c>
      <c r="E150" s="3">
        <v>7988.78</v>
      </c>
    </row>
    <row r="151" spans="1:5" x14ac:dyDescent="0.25">
      <c r="A151" s="3" t="s">
        <v>5</v>
      </c>
      <c r="B151" s="3" t="s">
        <v>208</v>
      </c>
      <c r="C151" s="3" t="s">
        <v>449</v>
      </c>
      <c r="D151" s="4">
        <f>HYPERLINK("https://cao.dolgi.msk.ru/account/1060508142/", 1060508142)</f>
        <v>1060508142</v>
      </c>
      <c r="E151" s="3">
        <v>4775.7</v>
      </c>
    </row>
    <row r="152" spans="1:5" x14ac:dyDescent="0.25">
      <c r="A152" s="3" t="s">
        <v>5</v>
      </c>
      <c r="B152" s="3" t="s">
        <v>450</v>
      </c>
      <c r="C152" s="3" t="s">
        <v>139</v>
      </c>
      <c r="D152" s="4">
        <f>HYPERLINK("https://cao.dolgi.msk.ru/account/1060577586/", 1060577586)</f>
        <v>1060577586</v>
      </c>
      <c r="E152" s="3">
        <v>13904.21</v>
      </c>
    </row>
    <row r="153" spans="1:5" x14ac:dyDescent="0.25">
      <c r="A153" s="3" t="s">
        <v>5</v>
      </c>
      <c r="B153" s="3" t="s">
        <v>450</v>
      </c>
      <c r="C153" s="3" t="s">
        <v>82</v>
      </c>
      <c r="D153" s="4">
        <f>HYPERLINK("https://cao.dolgi.msk.ru/account/1060578458/", 1060578458)</f>
        <v>1060578458</v>
      </c>
      <c r="E153" s="3">
        <v>16819.919999999998</v>
      </c>
    </row>
    <row r="154" spans="1:5" x14ac:dyDescent="0.25">
      <c r="A154" s="3" t="s">
        <v>5</v>
      </c>
      <c r="B154" s="3" t="s">
        <v>450</v>
      </c>
      <c r="C154" s="3" t="s">
        <v>97</v>
      </c>
      <c r="D154" s="4">
        <f>HYPERLINK("https://cao.dolgi.msk.ru/account/1060578642/", 1060578642)</f>
        <v>1060578642</v>
      </c>
      <c r="E154" s="3">
        <v>18200.73</v>
      </c>
    </row>
    <row r="155" spans="1:5" x14ac:dyDescent="0.25">
      <c r="A155" s="3" t="s">
        <v>5</v>
      </c>
      <c r="B155" s="3" t="s">
        <v>450</v>
      </c>
      <c r="C155" s="3" t="s">
        <v>99</v>
      </c>
      <c r="D155" s="4">
        <f>HYPERLINK("https://cao.dolgi.msk.ru/account/1060578677/", 1060578677)</f>
        <v>1060578677</v>
      </c>
      <c r="E155" s="3">
        <v>42165.36</v>
      </c>
    </row>
    <row r="156" spans="1:5" x14ac:dyDescent="0.25">
      <c r="A156" s="3" t="s">
        <v>5</v>
      </c>
      <c r="B156" s="3" t="s">
        <v>450</v>
      </c>
      <c r="C156" s="3" t="s">
        <v>145</v>
      </c>
      <c r="D156" s="4">
        <f>HYPERLINK("https://cao.dolgi.msk.ru/account/1060578722/", 1060578722)</f>
        <v>1060578722</v>
      </c>
      <c r="E156" s="3">
        <v>40748.03</v>
      </c>
    </row>
    <row r="157" spans="1:5" x14ac:dyDescent="0.25">
      <c r="A157" s="3" t="s">
        <v>5</v>
      </c>
      <c r="B157" s="3" t="s">
        <v>450</v>
      </c>
      <c r="C157" s="3" t="s">
        <v>150</v>
      </c>
      <c r="D157" s="4">
        <f>HYPERLINK("https://cao.dolgi.msk.ru/account/1060578933/", 1060578933)</f>
        <v>1060578933</v>
      </c>
      <c r="E157" s="3">
        <v>692927.58</v>
      </c>
    </row>
    <row r="158" spans="1:5" x14ac:dyDescent="0.25">
      <c r="A158" s="3" t="s">
        <v>5</v>
      </c>
      <c r="B158" s="3" t="s">
        <v>450</v>
      </c>
      <c r="C158" s="3" t="s">
        <v>156</v>
      </c>
      <c r="D158" s="4">
        <f>HYPERLINK("https://cao.dolgi.msk.ru/account/1060579004/", 1060579004)</f>
        <v>1060579004</v>
      </c>
      <c r="E158" s="3">
        <v>16571.150000000001</v>
      </c>
    </row>
    <row r="159" spans="1:5" x14ac:dyDescent="0.25">
      <c r="A159" s="3" t="s">
        <v>5</v>
      </c>
      <c r="B159" s="3" t="s">
        <v>451</v>
      </c>
      <c r="C159" s="3" t="s">
        <v>138</v>
      </c>
      <c r="D159" s="4">
        <f>HYPERLINK("https://cao.dolgi.msk.ru/account/1060547985/", 1060547985)</f>
        <v>1060547985</v>
      </c>
      <c r="E159" s="3">
        <v>22568.560000000001</v>
      </c>
    </row>
    <row r="160" spans="1:5" x14ac:dyDescent="0.25">
      <c r="A160" s="3" t="s">
        <v>5</v>
      </c>
      <c r="B160" s="3" t="s">
        <v>451</v>
      </c>
      <c r="C160" s="3" t="s">
        <v>141</v>
      </c>
      <c r="D160" s="4">
        <f>HYPERLINK("https://cao.dolgi.msk.ru/account/1060548013/", 1060548013)</f>
        <v>1060548013</v>
      </c>
      <c r="E160" s="3">
        <v>36934.480000000003</v>
      </c>
    </row>
    <row r="161" spans="1:5" x14ac:dyDescent="0.25">
      <c r="A161" s="3" t="s">
        <v>5</v>
      </c>
      <c r="B161" s="3" t="s">
        <v>451</v>
      </c>
      <c r="C161" s="3" t="s">
        <v>11</v>
      </c>
      <c r="D161" s="4">
        <f>HYPERLINK("https://cao.dolgi.msk.ru/account/1060887242/", 1060887242)</f>
        <v>1060887242</v>
      </c>
      <c r="E161" s="3">
        <v>15806.93</v>
      </c>
    </row>
    <row r="162" spans="1:5" x14ac:dyDescent="0.25">
      <c r="A162" s="3" t="s">
        <v>5</v>
      </c>
      <c r="B162" s="3" t="s">
        <v>451</v>
      </c>
      <c r="C162" s="3" t="s">
        <v>17</v>
      </c>
      <c r="D162" s="4">
        <f>HYPERLINK("https://cao.dolgi.msk.ru/account/1060548179/", 1060548179)</f>
        <v>1060548179</v>
      </c>
      <c r="E162" s="3">
        <v>5058.74</v>
      </c>
    </row>
    <row r="163" spans="1:5" x14ac:dyDescent="0.25">
      <c r="A163" s="3" t="s">
        <v>5</v>
      </c>
      <c r="B163" s="3" t="s">
        <v>451</v>
      </c>
      <c r="C163" s="3" t="s">
        <v>35</v>
      </c>
      <c r="D163" s="4">
        <f>HYPERLINK("https://cao.dolgi.msk.ru/account/1060548363/", 1060548363)</f>
        <v>1060548363</v>
      </c>
      <c r="E163" s="3">
        <v>6212.31</v>
      </c>
    </row>
    <row r="164" spans="1:5" x14ac:dyDescent="0.25">
      <c r="A164" s="3" t="s">
        <v>5</v>
      </c>
      <c r="B164" s="3" t="s">
        <v>451</v>
      </c>
      <c r="C164" s="3" t="s">
        <v>42</v>
      </c>
      <c r="D164" s="4">
        <f>HYPERLINK("https://cao.dolgi.msk.ru/account/1060548451/", 1060548451)</f>
        <v>1060548451</v>
      </c>
      <c r="E164" s="3">
        <v>22858.86</v>
      </c>
    </row>
    <row r="165" spans="1:5" x14ac:dyDescent="0.25">
      <c r="A165" s="3" t="s">
        <v>5</v>
      </c>
      <c r="B165" s="3" t="s">
        <v>452</v>
      </c>
      <c r="C165" s="3" t="s">
        <v>89</v>
      </c>
      <c r="D165" s="4">
        <f>HYPERLINK("https://cao.dolgi.msk.ru/account/1060618069/", 1060618069)</f>
        <v>1060618069</v>
      </c>
      <c r="E165" s="3">
        <v>25248.55</v>
      </c>
    </row>
    <row r="166" spans="1:5" x14ac:dyDescent="0.25">
      <c r="A166" s="3" t="s">
        <v>5</v>
      </c>
      <c r="B166" s="3" t="s">
        <v>452</v>
      </c>
      <c r="C166" s="3" t="s">
        <v>12</v>
      </c>
      <c r="D166" s="4">
        <f>HYPERLINK("https://cao.dolgi.msk.ru/account/1060618288/", 1060618288)</f>
        <v>1060618288</v>
      </c>
      <c r="E166" s="3">
        <v>7357.69</v>
      </c>
    </row>
    <row r="167" spans="1:5" x14ac:dyDescent="0.25">
      <c r="A167" s="3" t="s">
        <v>5</v>
      </c>
      <c r="B167" s="3" t="s">
        <v>452</v>
      </c>
      <c r="C167" s="3" t="s">
        <v>18</v>
      </c>
      <c r="D167" s="4">
        <f>HYPERLINK("https://cao.dolgi.msk.ru/account/1060618341/", 1060618341)</f>
        <v>1060618341</v>
      </c>
      <c r="E167" s="3">
        <v>6831.58</v>
      </c>
    </row>
    <row r="168" spans="1:5" x14ac:dyDescent="0.25">
      <c r="A168" s="3" t="s">
        <v>5</v>
      </c>
      <c r="B168" s="3" t="s">
        <v>452</v>
      </c>
      <c r="C168" s="3" t="s">
        <v>25</v>
      </c>
      <c r="D168" s="4">
        <f>HYPERLINK("https://cao.dolgi.msk.ru/account/1060618421/", 1060618421)</f>
        <v>1060618421</v>
      </c>
      <c r="E168" s="3">
        <v>11460.45</v>
      </c>
    </row>
    <row r="169" spans="1:5" x14ac:dyDescent="0.25">
      <c r="A169" s="3" t="s">
        <v>5</v>
      </c>
      <c r="B169" s="3" t="s">
        <v>452</v>
      </c>
      <c r="C169" s="3" t="s">
        <v>63</v>
      </c>
      <c r="D169" s="4">
        <f>HYPERLINK("https://cao.dolgi.msk.ru/account/1060618878/", 1060618878)</f>
        <v>1060618878</v>
      </c>
      <c r="E169" s="3">
        <v>6415.87</v>
      </c>
    </row>
    <row r="170" spans="1:5" x14ac:dyDescent="0.25">
      <c r="A170" s="3" t="s">
        <v>5</v>
      </c>
      <c r="B170" s="3" t="s">
        <v>453</v>
      </c>
      <c r="C170" s="3" t="s">
        <v>135</v>
      </c>
      <c r="D170" s="4">
        <f>HYPERLINK("https://cao.dolgi.msk.ru/account/1060619109/", 1060619109)</f>
        <v>1060619109</v>
      </c>
      <c r="E170" s="3">
        <v>136789.99</v>
      </c>
    </row>
    <row r="171" spans="1:5" x14ac:dyDescent="0.25">
      <c r="A171" s="3" t="s">
        <v>5</v>
      </c>
      <c r="B171" s="3" t="s">
        <v>453</v>
      </c>
      <c r="C171" s="3" t="s">
        <v>136</v>
      </c>
      <c r="D171" s="4">
        <f>HYPERLINK("https://cao.dolgi.msk.ru/account/1060619117/", 1060619117)</f>
        <v>1060619117</v>
      </c>
      <c r="E171" s="3">
        <v>2793.85</v>
      </c>
    </row>
    <row r="172" spans="1:5" x14ac:dyDescent="0.25">
      <c r="A172" s="3" t="s">
        <v>5</v>
      </c>
      <c r="B172" s="3" t="s">
        <v>453</v>
      </c>
      <c r="C172" s="3" t="s">
        <v>16</v>
      </c>
      <c r="D172" s="4">
        <f>HYPERLINK("https://cao.dolgi.msk.ru/account/1060619272/", 1060619272)</f>
        <v>1060619272</v>
      </c>
      <c r="E172" s="3">
        <v>5803.02</v>
      </c>
    </row>
    <row r="173" spans="1:5" x14ac:dyDescent="0.25">
      <c r="A173" s="3" t="s">
        <v>5</v>
      </c>
      <c r="B173" s="3" t="s">
        <v>453</v>
      </c>
      <c r="C173" s="3" t="s">
        <v>56</v>
      </c>
      <c r="D173" s="4">
        <f>HYPERLINK("https://cao.dolgi.msk.ru/account/1060619758/", 1060619758)</f>
        <v>1060619758</v>
      </c>
      <c r="E173" s="3">
        <v>8671.6</v>
      </c>
    </row>
    <row r="174" spans="1:5" x14ac:dyDescent="0.25">
      <c r="A174" s="3" t="s">
        <v>5</v>
      </c>
      <c r="B174" s="3" t="s">
        <v>453</v>
      </c>
      <c r="C174" s="3" t="s">
        <v>75</v>
      </c>
      <c r="D174" s="4">
        <f>HYPERLINK("https://cao.dolgi.msk.ru/account/1060619934/", 1060619934)</f>
        <v>1060619934</v>
      </c>
      <c r="E174" s="3">
        <v>5667.41</v>
      </c>
    </row>
    <row r="175" spans="1:5" x14ac:dyDescent="0.25">
      <c r="A175" s="3" t="s">
        <v>5</v>
      </c>
      <c r="B175" s="3" t="s">
        <v>454</v>
      </c>
      <c r="C175" s="3" t="s">
        <v>130</v>
      </c>
      <c r="D175" s="4">
        <f>HYPERLINK("https://cao.dolgi.msk.ru/account/1060548603/", 1060548603)</f>
        <v>1060548603</v>
      </c>
      <c r="E175" s="3">
        <v>85126.33</v>
      </c>
    </row>
    <row r="176" spans="1:5" x14ac:dyDescent="0.25">
      <c r="A176" s="3" t="s">
        <v>5</v>
      </c>
      <c r="B176" s="3" t="s">
        <v>454</v>
      </c>
      <c r="C176" s="3" t="s">
        <v>135</v>
      </c>
      <c r="D176" s="4">
        <f>HYPERLINK("https://cao.dolgi.msk.ru/account/1060548726/", 1060548726)</f>
        <v>1060548726</v>
      </c>
      <c r="E176" s="3">
        <v>11095.26</v>
      </c>
    </row>
    <row r="177" spans="1:5" x14ac:dyDescent="0.25">
      <c r="A177" s="3" t="s">
        <v>5</v>
      </c>
      <c r="B177" s="3" t="s">
        <v>454</v>
      </c>
      <c r="C177" s="3" t="s">
        <v>140</v>
      </c>
      <c r="D177" s="4">
        <f>HYPERLINK("https://cao.dolgi.msk.ru/account/1060548785/", 1060548785)</f>
        <v>1060548785</v>
      </c>
      <c r="E177" s="3">
        <v>12220.32</v>
      </c>
    </row>
    <row r="178" spans="1:5" x14ac:dyDescent="0.25">
      <c r="A178" s="3" t="s">
        <v>5</v>
      </c>
      <c r="B178" s="3" t="s">
        <v>454</v>
      </c>
      <c r="C178" s="3" t="s">
        <v>141</v>
      </c>
      <c r="D178" s="4">
        <f>HYPERLINK("https://cao.dolgi.msk.ru/account/1060882089/", 1060882089)</f>
        <v>1060882089</v>
      </c>
      <c r="E178" s="3">
        <v>99331.42</v>
      </c>
    </row>
    <row r="179" spans="1:5" x14ac:dyDescent="0.25">
      <c r="A179" s="3" t="s">
        <v>5</v>
      </c>
      <c r="B179" s="3" t="s">
        <v>454</v>
      </c>
      <c r="C179" s="3" t="s">
        <v>11</v>
      </c>
      <c r="D179" s="4">
        <f>HYPERLINK("https://cao.dolgi.msk.ru/account/1060548857/", 1060548857)</f>
        <v>1060548857</v>
      </c>
      <c r="E179" s="3">
        <v>9945</v>
      </c>
    </row>
    <row r="180" spans="1:5" x14ac:dyDescent="0.25">
      <c r="A180" s="3" t="s">
        <v>5</v>
      </c>
      <c r="B180" s="3" t="s">
        <v>454</v>
      </c>
      <c r="C180" s="3" t="s">
        <v>115</v>
      </c>
      <c r="D180" s="4">
        <f>HYPERLINK("https://cao.dolgi.msk.ru/account/1060550156/", 1060550156)</f>
        <v>1060550156</v>
      </c>
      <c r="E180" s="3">
        <v>328000.75</v>
      </c>
    </row>
    <row r="181" spans="1:5" x14ac:dyDescent="0.25">
      <c r="A181" s="3" t="s">
        <v>5</v>
      </c>
      <c r="B181" s="3" t="s">
        <v>454</v>
      </c>
      <c r="C181" s="3" t="s">
        <v>157</v>
      </c>
      <c r="D181" s="4">
        <f>HYPERLINK("https://cao.dolgi.msk.ru/account/1060550287/", 1060550287)</f>
        <v>1060550287</v>
      </c>
      <c r="E181" s="3">
        <v>7972.08</v>
      </c>
    </row>
    <row r="182" spans="1:5" x14ac:dyDescent="0.25">
      <c r="A182" s="3" t="s">
        <v>5</v>
      </c>
      <c r="B182" s="3" t="s">
        <v>454</v>
      </c>
      <c r="C182" s="3" t="s">
        <v>163</v>
      </c>
      <c r="D182" s="4">
        <f>HYPERLINK("https://cao.dolgi.msk.ru/account/1060550375/", 1060550375)</f>
        <v>1060550375</v>
      </c>
      <c r="E182" s="3">
        <v>257284.79</v>
      </c>
    </row>
    <row r="183" spans="1:5" x14ac:dyDescent="0.25">
      <c r="A183" s="3" t="s">
        <v>5</v>
      </c>
      <c r="B183" s="3" t="s">
        <v>454</v>
      </c>
      <c r="C183" s="3" t="s">
        <v>169</v>
      </c>
      <c r="D183" s="4">
        <f>HYPERLINK("https://cao.dolgi.msk.ru/account/1060550447/", 1060550447)</f>
        <v>1060550447</v>
      </c>
      <c r="E183" s="3">
        <v>13525.03</v>
      </c>
    </row>
    <row r="184" spans="1:5" x14ac:dyDescent="0.25">
      <c r="A184" s="3" t="s">
        <v>5</v>
      </c>
      <c r="B184" s="3" t="s">
        <v>454</v>
      </c>
      <c r="C184" s="3" t="s">
        <v>180</v>
      </c>
      <c r="D184" s="4">
        <f>HYPERLINK("https://cao.dolgi.msk.ru/account/1060550594/", 1060550594)</f>
        <v>1060550594</v>
      </c>
      <c r="E184" s="3">
        <v>30017.95</v>
      </c>
    </row>
    <row r="185" spans="1:5" x14ac:dyDescent="0.25">
      <c r="A185" s="3" t="s">
        <v>5</v>
      </c>
      <c r="B185" s="3" t="s">
        <v>455</v>
      </c>
      <c r="C185" s="3" t="s">
        <v>23</v>
      </c>
      <c r="D185" s="4">
        <f>HYPERLINK("https://cao.dolgi.msk.ru/account/1060523422/", 1060523422)</f>
        <v>1060523422</v>
      </c>
      <c r="E185" s="3">
        <v>6628.85</v>
      </c>
    </row>
    <row r="186" spans="1:5" x14ac:dyDescent="0.25">
      <c r="A186" s="3" t="s">
        <v>5</v>
      </c>
      <c r="B186" s="3" t="s">
        <v>455</v>
      </c>
      <c r="C186" s="3" t="s">
        <v>38</v>
      </c>
      <c r="D186" s="4">
        <f>HYPERLINK("https://cao.dolgi.msk.ru/account/1060523617/", 1060523617)</f>
        <v>1060523617</v>
      </c>
      <c r="E186" s="3">
        <v>4504.13</v>
      </c>
    </row>
    <row r="187" spans="1:5" x14ac:dyDescent="0.25">
      <c r="A187" s="3" t="s">
        <v>5</v>
      </c>
      <c r="B187" s="3" t="s">
        <v>455</v>
      </c>
      <c r="C187" s="3" t="s">
        <v>41</v>
      </c>
      <c r="D187" s="4">
        <f>HYPERLINK("https://cao.dolgi.msk.ru/account/1060523641/", 1060523641)</f>
        <v>1060523641</v>
      </c>
      <c r="E187" s="3">
        <v>33454.839999999997</v>
      </c>
    </row>
    <row r="188" spans="1:5" x14ac:dyDescent="0.25">
      <c r="A188" s="3" t="s">
        <v>5</v>
      </c>
      <c r="B188" s="3" t="s">
        <v>455</v>
      </c>
      <c r="C188" s="3" t="s">
        <v>109</v>
      </c>
      <c r="D188" s="4">
        <f>HYPERLINK("https://cao.dolgi.msk.ru/account/1060524476/", 1060524476)</f>
        <v>1060524476</v>
      </c>
      <c r="E188" s="3">
        <v>22147.01</v>
      </c>
    </row>
    <row r="189" spans="1:5" x14ac:dyDescent="0.25">
      <c r="A189" s="3" t="s">
        <v>5</v>
      </c>
      <c r="B189" s="3" t="s">
        <v>455</v>
      </c>
      <c r="C189" s="3" t="s">
        <v>177</v>
      </c>
      <c r="D189" s="4">
        <f>HYPERLINK("https://cao.dolgi.msk.ru/account/1060524919/", 1060524919)</f>
        <v>1060524919</v>
      </c>
      <c r="E189" s="3">
        <v>19618.86</v>
      </c>
    </row>
    <row r="190" spans="1:5" x14ac:dyDescent="0.25">
      <c r="A190" s="3" t="s">
        <v>5</v>
      </c>
      <c r="B190" s="3" t="s">
        <v>455</v>
      </c>
      <c r="C190" s="3" t="s">
        <v>183</v>
      </c>
      <c r="D190" s="4">
        <f>HYPERLINK("https://cao.dolgi.msk.ru/account/1060528928/", 1060528928)</f>
        <v>1060528928</v>
      </c>
      <c r="E190" s="3">
        <v>8012.44</v>
      </c>
    </row>
    <row r="191" spans="1:5" x14ac:dyDescent="0.25">
      <c r="A191" s="3" t="s">
        <v>5</v>
      </c>
      <c r="B191" s="3" t="s">
        <v>455</v>
      </c>
      <c r="C191" s="3" t="s">
        <v>184</v>
      </c>
      <c r="D191" s="4">
        <f>HYPERLINK("https://cao.dolgi.msk.ru/account/1060524951/", 1060524951)</f>
        <v>1060524951</v>
      </c>
      <c r="E191" s="3">
        <v>82665.289999999994</v>
      </c>
    </row>
    <row r="192" spans="1:5" x14ac:dyDescent="0.25">
      <c r="A192" s="3" t="s">
        <v>5</v>
      </c>
      <c r="B192" s="3" t="s">
        <v>455</v>
      </c>
      <c r="C192" s="3" t="s">
        <v>185</v>
      </c>
      <c r="D192" s="4">
        <f>HYPERLINK("https://cao.dolgi.msk.ru/account/1060524978/", 1060524978)</f>
        <v>1060524978</v>
      </c>
      <c r="E192" s="3">
        <v>12799.68</v>
      </c>
    </row>
    <row r="193" spans="1:5" x14ac:dyDescent="0.25">
      <c r="A193" s="3" t="s">
        <v>5</v>
      </c>
      <c r="B193" s="3" t="s">
        <v>455</v>
      </c>
      <c r="C193" s="3" t="s">
        <v>198</v>
      </c>
      <c r="D193" s="4">
        <f>HYPERLINK("https://cao.dolgi.msk.ru/account/1060525137/", 1060525137)</f>
        <v>1060525137</v>
      </c>
      <c r="E193" s="3">
        <v>6445.48</v>
      </c>
    </row>
    <row r="194" spans="1:5" x14ac:dyDescent="0.25">
      <c r="A194" s="3" t="s">
        <v>5</v>
      </c>
      <c r="B194" s="3" t="s">
        <v>455</v>
      </c>
      <c r="C194" s="3" t="s">
        <v>218</v>
      </c>
      <c r="D194" s="4">
        <f>HYPERLINK("https://cao.dolgi.msk.ru/account/1060525305/", 1060525305)</f>
        <v>1060525305</v>
      </c>
      <c r="E194" s="3">
        <v>8624.83</v>
      </c>
    </row>
    <row r="195" spans="1:5" x14ac:dyDescent="0.25">
      <c r="A195" s="3" t="s">
        <v>5</v>
      </c>
      <c r="B195" s="3" t="s">
        <v>455</v>
      </c>
      <c r="C195" s="3" t="s">
        <v>246</v>
      </c>
      <c r="D195" s="4">
        <f>HYPERLINK("https://cao.dolgi.msk.ru/account/1060525698/", 1060525698)</f>
        <v>1060525698</v>
      </c>
      <c r="E195" s="3">
        <v>13827.57</v>
      </c>
    </row>
    <row r="196" spans="1:5" x14ac:dyDescent="0.25">
      <c r="A196" s="3" t="s">
        <v>5</v>
      </c>
      <c r="B196" s="3" t="s">
        <v>455</v>
      </c>
      <c r="C196" s="3" t="s">
        <v>260</v>
      </c>
      <c r="D196" s="4">
        <f>HYPERLINK("https://cao.dolgi.msk.ru/account/1060525866/", 1060525866)</f>
        <v>1060525866</v>
      </c>
      <c r="E196" s="3">
        <v>20483.48</v>
      </c>
    </row>
    <row r="197" spans="1:5" x14ac:dyDescent="0.25">
      <c r="A197" s="3" t="s">
        <v>5</v>
      </c>
      <c r="B197" s="3" t="s">
        <v>455</v>
      </c>
      <c r="C197" s="3" t="s">
        <v>272</v>
      </c>
      <c r="D197" s="4">
        <f>HYPERLINK("https://cao.dolgi.msk.ru/account/1060526084/", 1060526084)</f>
        <v>1060526084</v>
      </c>
      <c r="E197" s="3">
        <v>6528.04</v>
      </c>
    </row>
    <row r="198" spans="1:5" x14ac:dyDescent="0.25">
      <c r="A198" s="3" t="s">
        <v>5</v>
      </c>
      <c r="B198" s="3" t="s">
        <v>455</v>
      </c>
      <c r="C198" s="3" t="s">
        <v>295</v>
      </c>
      <c r="D198" s="4">
        <f>HYPERLINK("https://cao.dolgi.msk.ru/account/1060526631/", 1060526631)</f>
        <v>1060526631</v>
      </c>
      <c r="E198" s="3">
        <v>3167.11</v>
      </c>
    </row>
    <row r="199" spans="1:5" x14ac:dyDescent="0.25">
      <c r="A199" s="3" t="s">
        <v>5</v>
      </c>
      <c r="B199" s="3" t="s">
        <v>455</v>
      </c>
      <c r="C199" s="3" t="s">
        <v>68</v>
      </c>
      <c r="D199" s="4">
        <f>HYPERLINK("https://cao.dolgi.msk.ru/account/1060526543/", 1060526543)</f>
        <v>1060526543</v>
      </c>
      <c r="E199" s="3">
        <v>17048.25</v>
      </c>
    </row>
    <row r="200" spans="1:5" x14ac:dyDescent="0.25">
      <c r="A200" s="3" t="s">
        <v>5</v>
      </c>
      <c r="B200" s="3" t="s">
        <v>455</v>
      </c>
      <c r="C200" s="3" t="s">
        <v>310</v>
      </c>
      <c r="D200" s="4">
        <f>HYPERLINK("https://cao.dolgi.msk.ru/account/1060526869/", 1060526869)</f>
        <v>1060526869</v>
      </c>
      <c r="E200" s="3">
        <v>13246.26</v>
      </c>
    </row>
    <row r="201" spans="1:5" x14ac:dyDescent="0.25">
      <c r="A201" s="3" t="s">
        <v>5</v>
      </c>
      <c r="B201" s="3" t="s">
        <v>455</v>
      </c>
      <c r="C201" s="3" t="s">
        <v>311</v>
      </c>
      <c r="D201" s="4">
        <f>HYPERLINK("https://cao.dolgi.msk.ru/account/1060526877/", 1060526877)</f>
        <v>1060526877</v>
      </c>
      <c r="E201" s="3">
        <v>20272.82</v>
      </c>
    </row>
    <row r="202" spans="1:5" x14ac:dyDescent="0.25">
      <c r="A202" s="3" t="s">
        <v>5</v>
      </c>
      <c r="B202" s="3" t="s">
        <v>455</v>
      </c>
      <c r="C202" s="3" t="s">
        <v>314</v>
      </c>
      <c r="D202" s="4">
        <f>HYPERLINK("https://cao.dolgi.msk.ru/account/1060526906/", 1060526906)</f>
        <v>1060526906</v>
      </c>
      <c r="E202" s="3">
        <v>15243.09</v>
      </c>
    </row>
    <row r="203" spans="1:5" x14ac:dyDescent="0.25">
      <c r="A203" s="3" t="s">
        <v>5</v>
      </c>
      <c r="B203" s="3" t="s">
        <v>455</v>
      </c>
      <c r="C203" s="3" t="s">
        <v>330</v>
      </c>
      <c r="D203" s="4">
        <f>HYPERLINK("https://cao.dolgi.msk.ru/account/1060527255/", 1060527255)</f>
        <v>1060527255</v>
      </c>
      <c r="E203" s="3">
        <v>7104.55</v>
      </c>
    </row>
    <row r="204" spans="1:5" x14ac:dyDescent="0.25">
      <c r="A204" s="3" t="s">
        <v>5</v>
      </c>
      <c r="B204" s="3" t="s">
        <v>455</v>
      </c>
      <c r="C204" s="3" t="s">
        <v>331</v>
      </c>
      <c r="D204" s="4">
        <f>HYPERLINK("https://cao.dolgi.msk.ru/account/1060527263/", 1060527263)</f>
        <v>1060527263</v>
      </c>
      <c r="E204" s="3">
        <v>5081.17</v>
      </c>
    </row>
    <row r="205" spans="1:5" x14ac:dyDescent="0.25">
      <c r="A205" s="3" t="s">
        <v>5</v>
      </c>
      <c r="B205" s="3" t="s">
        <v>455</v>
      </c>
      <c r="C205" s="3" t="s">
        <v>358</v>
      </c>
      <c r="D205" s="4">
        <f>HYPERLINK("https://cao.dolgi.msk.ru/account/1060527837/", 1060527837)</f>
        <v>1060527837</v>
      </c>
      <c r="E205" s="3">
        <v>13179.5</v>
      </c>
    </row>
    <row r="206" spans="1:5" x14ac:dyDescent="0.25">
      <c r="A206" s="3" t="s">
        <v>5</v>
      </c>
      <c r="B206" s="3" t="s">
        <v>455</v>
      </c>
      <c r="C206" s="3" t="s">
        <v>361</v>
      </c>
      <c r="D206" s="4">
        <f>HYPERLINK("https://cao.dolgi.msk.ru/account/1060527909/", 1060527909)</f>
        <v>1060527909</v>
      </c>
      <c r="E206" s="3">
        <v>7735.07</v>
      </c>
    </row>
    <row r="207" spans="1:5" x14ac:dyDescent="0.25">
      <c r="A207" s="3" t="s">
        <v>5</v>
      </c>
      <c r="B207" s="3" t="s">
        <v>455</v>
      </c>
      <c r="C207" s="3" t="s">
        <v>362</v>
      </c>
      <c r="D207" s="4">
        <f>HYPERLINK("https://cao.dolgi.msk.ru/account/1060527917/", 1060527917)</f>
        <v>1060527917</v>
      </c>
      <c r="E207" s="3">
        <v>18280.169999999998</v>
      </c>
    </row>
    <row r="208" spans="1:5" x14ac:dyDescent="0.25">
      <c r="A208" s="3" t="s">
        <v>5</v>
      </c>
      <c r="B208" s="3" t="s">
        <v>455</v>
      </c>
      <c r="C208" s="3" t="s">
        <v>374</v>
      </c>
      <c r="D208" s="4">
        <f>HYPERLINK("https://cao.dolgi.msk.ru/account/1060528151/", 1060528151)</f>
        <v>1060528151</v>
      </c>
      <c r="E208" s="3">
        <v>6565.78</v>
      </c>
    </row>
    <row r="209" spans="1:5" x14ac:dyDescent="0.25">
      <c r="A209" s="3" t="s">
        <v>5</v>
      </c>
      <c r="B209" s="3" t="s">
        <v>455</v>
      </c>
      <c r="C209" s="3" t="s">
        <v>381</v>
      </c>
      <c r="D209" s="4">
        <f>HYPERLINK("https://cao.dolgi.msk.ru/account/1060528303/", 1060528303)</f>
        <v>1060528303</v>
      </c>
      <c r="E209" s="3">
        <v>16292.78</v>
      </c>
    </row>
    <row r="210" spans="1:5" x14ac:dyDescent="0.25">
      <c r="A210" s="3" t="s">
        <v>5</v>
      </c>
      <c r="B210" s="3" t="s">
        <v>455</v>
      </c>
      <c r="C210" s="3" t="s">
        <v>399</v>
      </c>
      <c r="D210" s="4">
        <f>HYPERLINK("https://cao.dolgi.msk.ru/account/1060528717/", 1060528717)</f>
        <v>1060528717</v>
      </c>
      <c r="E210" s="3">
        <v>4884.45</v>
      </c>
    </row>
    <row r="211" spans="1:5" x14ac:dyDescent="0.25">
      <c r="A211" s="3" t="s">
        <v>5</v>
      </c>
      <c r="B211" s="3" t="s">
        <v>455</v>
      </c>
      <c r="C211" s="3" t="s">
        <v>400</v>
      </c>
      <c r="D211" s="4">
        <f>HYPERLINK("https://cao.dolgi.msk.ru/account/1060528733/", 1060528733)</f>
        <v>1060528733</v>
      </c>
      <c r="E211" s="3">
        <v>45042.52</v>
      </c>
    </row>
    <row r="212" spans="1:5" x14ac:dyDescent="0.25">
      <c r="A212" s="3" t="s">
        <v>5</v>
      </c>
      <c r="B212" s="3" t="s">
        <v>456</v>
      </c>
      <c r="C212" s="3" t="s">
        <v>7</v>
      </c>
      <c r="D212" s="4">
        <f>HYPERLINK("https://cao.dolgi.msk.ru/account/1060529189/", 1060529189)</f>
        <v>1060529189</v>
      </c>
      <c r="E212" s="3">
        <v>10293.870000000001</v>
      </c>
    </row>
    <row r="213" spans="1:5" x14ac:dyDescent="0.25">
      <c r="A213" s="3" t="s">
        <v>5</v>
      </c>
      <c r="B213" s="3" t="s">
        <v>456</v>
      </c>
      <c r="C213" s="3" t="s">
        <v>14</v>
      </c>
      <c r="D213" s="4">
        <f>HYPERLINK("https://cao.dolgi.msk.ru/account/1060529242/", 1060529242)</f>
        <v>1060529242</v>
      </c>
      <c r="E213" s="3">
        <v>4585.91</v>
      </c>
    </row>
    <row r="214" spans="1:5" x14ac:dyDescent="0.25">
      <c r="A214" s="3" t="s">
        <v>5</v>
      </c>
      <c r="B214" s="3" t="s">
        <v>456</v>
      </c>
      <c r="C214" s="3" t="s">
        <v>35</v>
      </c>
      <c r="D214" s="4">
        <f>HYPERLINK("https://cao.dolgi.msk.ru/account/1060529496/", 1060529496)</f>
        <v>1060529496</v>
      </c>
      <c r="E214" s="3">
        <v>4873.54</v>
      </c>
    </row>
    <row r="215" spans="1:5" x14ac:dyDescent="0.25">
      <c r="A215" s="3" t="s">
        <v>5</v>
      </c>
      <c r="B215" s="3" t="s">
        <v>456</v>
      </c>
      <c r="C215" s="3" t="s">
        <v>78</v>
      </c>
      <c r="D215" s="4">
        <f>HYPERLINK("https://cao.dolgi.msk.ru/account/1060529963/", 1060529963)</f>
        <v>1060529963</v>
      </c>
      <c r="E215" s="3">
        <v>72678.75</v>
      </c>
    </row>
    <row r="216" spans="1:5" x14ac:dyDescent="0.25">
      <c r="A216" s="3" t="s">
        <v>5</v>
      </c>
      <c r="B216" s="3" t="s">
        <v>456</v>
      </c>
      <c r="C216" s="3" t="s">
        <v>82</v>
      </c>
      <c r="D216" s="4">
        <f>HYPERLINK("https://cao.dolgi.msk.ru/account/1060530016/", 1060530016)</f>
        <v>1060530016</v>
      </c>
      <c r="E216" s="3">
        <v>14127.61</v>
      </c>
    </row>
    <row r="217" spans="1:5" x14ac:dyDescent="0.25">
      <c r="A217" s="3" t="s">
        <v>5</v>
      </c>
      <c r="B217" s="3" t="s">
        <v>456</v>
      </c>
      <c r="C217" s="3" t="s">
        <v>97</v>
      </c>
      <c r="D217" s="4">
        <f>HYPERLINK("https://cao.dolgi.msk.ru/account/1060530219/", 1060530219)</f>
        <v>1060530219</v>
      </c>
      <c r="E217" s="3">
        <v>110252.36</v>
      </c>
    </row>
    <row r="218" spans="1:5" x14ac:dyDescent="0.25">
      <c r="A218" s="3" t="s">
        <v>5</v>
      </c>
      <c r="B218" s="3" t="s">
        <v>457</v>
      </c>
      <c r="C218" s="3" t="s">
        <v>133</v>
      </c>
      <c r="D218" s="4">
        <f>HYPERLINK("https://cao.dolgi.msk.ru/account/1060536899/", 1060536899)</f>
        <v>1060536899</v>
      </c>
      <c r="E218" s="3">
        <v>6463.29</v>
      </c>
    </row>
    <row r="219" spans="1:5" x14ac:dyDescent="0.25">
      <c r="A219" s="3" t="s">
        <v>5</v>
      </c>
      <c r="B219" s="3" t="s">
        <v>457</v>
      </c>
      <c r="C219" s="3" t="s">
        <v>13</v>
      </c>
      <c r="D219" s="4">
        <f>HYPERLINK("https://cao.dolgi.msk.ru/account/1060537074/", 1060537074)</f>
        <v>1060537074</v>
      </c>
      <c r="E219" s="3">
        <v>38577.51</v>
      </c>
    </row>
    <row r="220" spans="1:5" x14ac:dyDescent="0.25">
      <c r="A220" s="3" t="s">
        <v>5</v>
      </c>
      <c r="B220" s="3" t="s">
        <v>457</v>
      </c>
      <c r="C220" s="3" t="s">
        <v>53</v>
      </c>
      <c r="D220" s="4">
        <f>HYPERLINK("https://cao.dolgi.msk.ru/account/1060537541/", 1060537541)</f>
        <v>1060537541</v>
      </c>
      <c r="E220" s="3">
        <v>7001.78</v>
      </c>
    </row>
    <row r="221" spans="1:5" x14ac:dyDescent="0.25">
      <c r="A221" s="3" t="s">
        <v>5</v>
      </c>
      <c r="B221" s="3" t="s">
        <v>457</v>
      </c>
      <c r="C221" s="3" t="s">
        <v>58</v>
      </c>
      <c r="D221" s="4">
        <f>HYPERLINK("https://cao.dolgi.msk.ru/account/1060537605/", 1060537605)</f>
        <v>1060537605</v>
      </c>
      <c r="E221" s="3">
        <v>17388.38</v>
      </c>
    </row>
    <row r="222" spans="1:5" x14ac:dyDescent="0.25">
      <c r="A222" s="3" t="s">
        <v>5</v>
      </c>
      <c r="B222" s="3" t="s">
        <v>458</v>
      </c>
      <c r="C222" s="3" t="s">
        <v>9</v>
      </c>
      <c r="D222" s="4">
        <f>HYPERLINK("https://cao.dolgi.msk.ru/account/1060530593/", 1060530593)</f>
        <v>1060530593</v>
      </c>
      <c r="E222" s="3">
        <v>12676.64</v>
      </c>
    </row>
    <row r="223" spans="1:5" x14ac:dyDescent="0.25">
      <c r="A223" s="3" t="s">
        <v>5</v>
      </c>
      <c r="B223" s="3" t="s">
        <v>458</v>
      </c>
      <c r="C223" s="3" t="s">
        <v>137</v>
      </c>
      <c r="D223" s="4">
        <f>HYPERLINK("https://cao.dolgi.msk.ru/account/1060530702/", 1060530702)</f>
        <v>1060530702</v>
      </c>
      <c r="E223" s="3">
        <v>7739.4</v>
      </c>
    </row>
    <row r="224" spans="1:5" x14ac:dyDescent="0.25">
      <c r="A224" s="3" t="s">
        <v>5</v>
      </c>
      <c r="B224" s="3" t="s">
        <v>458</v>
      </c>
      <c r="C224" s="3" t="s">
        <v>11</v>
      </c>
      <c r="D224" s="4">
        <f>HYPERLINK("https://cao.dolgi.msk.ru/account/1060530809/", 1060530809)</f>
        <v>1060530809</v>
      </c>
      <c r="E224" s="3">
        <v>3674.41</v>
      </c>
    </row>
    <row r="225" spans="1:5" x14ac:dyDescent="0.25">
      <c r="A225" s="3" t="s">
        <v>5</v>
      </c>
      <c r="B225" s="3" t="s">
        <v>458</v>
      </c>
      <c r="C225" s="3" t="s">
        <v>27</v>
      </c>
      <c r="D225" s="4">
        <f>HYPERLINK("https://cao.dolgi.msk.ru/account/1060532062/", 1060532062)</f>
        <v>1060532062</v>
      </c>
      <c r="E225" s="3">
        <v>4328.88</v>
      </c>
    </row>
    <row r="226" spans="1:5" x14ac:dyDescent="0.25">
      <c r="A226" s="3" t="s">
        <v>5</v>
      </c>
      <c r="B226" s="3" t="s">
        <v>458</v>
      </c>
      <c r="C226" s="3" t="s">
        <v>40</v>
      </c>
      <c r="D226" s="4">
        <f>HYPERLINK("https://cao.dolgi.msk.ru/account/1060531123/", 1060531123)</f>
        <v>1060531123</v>
      </c>
      <c r="E226" s="3">
        <v>3403.93</v>
      </c>
    </row>
    <row r="227" spans="1:5" x14ac:dyDescent="0.25">
      <c r="A227" s="3" t="s">
        <v>5</v>
      </c>
      <c r="B227" s="3" t="s">
        <v>458</v>
      </c>
      <c r="C227" s="3" t="s">
        <v>48</v>
      </c>
      <c r="D227" s="4">
        <f>HYPERLINK("https://cao.dolgi.msk.ru/account/1060531238/", 1060531238)</f>
        <v>1060531238</v>
      </c>
      <c r="E227" s="3">
        <v>6447.21</v>
      </c>
    </row>
    <row r="228" spans="1:5" x14ac:dyDescent="0.25">
      <c r="A228" s="3" t="s">
        <v>5</v>
      </c>
      <c r="B228" s="3" t="s">
        <v>458</v>
      </c>
      <c r="C228" s="3" t="s">
        <v>56</v>
      </c>
      <c r="D228" s="4">
        <f>HYPERLINK("https://cao.dolgi.msk.ru/account/1060531326/", 1060531326)</f>
        <v>1060531326</v>
      </c>
      <c r="E228" s="3">
        <v>7680.36</v>
      </c>
    </row>
    <row r="229" spans="1:5" x14ac:dyDescent="0.25">
      <c r="A229" s="3" t="s">
        <v>5</v>
      </c>
      <c r="B229" s="3" t="s">
        <v>458</v>
      </c>
      <c r="C229" s="3" t="s">
        <v>57</v>
      </c>
      <c r="D229" s="4">
        <f>HYPERLINK("https://cao.dolgi.msk.ru/account/1060531334/", 1060531334)</f>
        <v>1060531334</v>
      </c>
      <c r="E229" s="3">
        <v>7795.6</v>
      </c>
    </row>
    <row r="230" spans="1:5" x14ac:dyDescent="0.25">
      <c r="A230" s="3" t="s">
        <v>5</v>
      </c>
      <c r="B230" s="3" t="s">
        <v>458</v>
      </c>
      <c r="C230" s="3" t="s">
        <v>91</v>
      </c>
      <c r="D230" s="4">
        <f>HYPERLINK("https://cao.dolgi.msk.ru/account/1060531684/", 1060531684)</f>
        <v>1060531684</v>
      </c>
      <c r="E230" s="3">
        <v>74454.759999999995</v>
      </c>
    </row>
    <row r="231" spans="1:5" x14ac:dyDescent="0.25">
      <c r="A231" s="3" t="s">
        <v>5</v>
      </c>
      <c r="B231" s="3" t="s">
        <v>458</v>
      </c>
      <c r="C231" s="3" t="s">
        <v>147</v>
      </c>
      <c r="D231" s="4">
        <f>HYPERLINK("https://cao.dolgi.msk.ru/account/1060531879/", 1060531879)</f>
        <v>1060531879</v>
      </c>
      <c r="E231" s="3">
        <v>9301.82</v>
      </c>
    </row>
    <row r="232" spans="1:5" x14ac:dyDescent="0.25">
      <c r="A232" s="3" t="s">
        <v>5</v>
      </c>
      <c r="B232" s="3" t="s">
        <v>458</v>
      </c>
      <c r="C232" s="3" t="s">
        <v>109</v>
      </c>
      <c r="D232" s="4">
        <f>HYPERLINK("https://cao.dolgi.msk.ru/account/1060531932/", 1060531932)</f>
        <v>1060531932</v>
      </c>
      <c r="E232" s="3">
        <v>6311.97</v>
      </c>
    </row>
    <row r="233" spans="1:5" x14ac:dyDescent="0.25">
      <c r="A233" s="3" t="s">
        <v>5</v>
      </c>
      <c r="B233" s="3" t="s">
        <v>458</v>
      </c>
      <c r="C233" s="3" t="s">
        <v>111</v>
      </c>
      <c r="D233" s="4">
        <f>HYPERLINK("https://cao.dolgi.msk.ru/account/1060531967/", 1060531967)</f>
        <v>1060531967</v>
      </c>
      <c r="E233" s="3">
        <v>7699.93</v>
      </c>
    </row>
    <row r="234" spans="1:5" x14ac:dyDescent="0.25">
      <c r="A234" s="3" t="s">
        <v>5</v>
      </c>
      <c r="B234" s="3" t="s">
        <v>459</v>
      </c>
      <c r="C234" s="3" t="s">
        <v>135</v>
      </c>
      <c r="D234" s="4">
        <f>HYPERLINK("https://cao.dolgi.msk.ru/account/1060863793/", 1060863793)</f>
        <v>1060863793</v>
      </c>
      <c r="E234" s="3">
        <v>53596.66</v>
      </c>
    </row>
    <row r="235" spans="1:5" x14ac:dyDescent="0.25">
      <c r="A235" s="3" t="s">
        <v>5</v>
      </c>
      <c r="B235" s="3" t="s">
        <v>459</v>
      </c>
      <c r="C235" s="3" t="s">
        <v>135</v>
      </c>
      <c r="D235" s="4">
        <f>HYPERLINK("https://cao.dolgi.msk.ru/account/1060863806/", 1060863806)</f>
        <v>1060863806</v>
      </c>
      <c r="E235" s="3">
        <v>87249.74</v>
      </c>
    </row>
    <row r="236" spans="1:5" x14ac:dyDescent="0.25">
      <c r="A236" s="3" t="s">
        <v>5</v>
      </c>
      <c r="B236" s="3" t="s">
        <v>459</v>
      </c>
      <c r="C236" s="3" t="s">
        <v>140</v>
      </c>
      <c r="D236" s="4">
        <f>HYPERLINK("https://cao.dolgi.msk.ru/account/1060532273/", 1060532273)</f>
        <v>1060532273</v>
      </c>
      <c r="E236" s="3">
        <v>10070.64</v>
      </c>
    </row>
    <row r="237" spans="1:5" x14ac:dyDescent="0.25">
      <c r="A237" s="3" t="s">
        <v>5</v>
      </c>
      <c r="B237" s="3" t="s">
        <v>459</v>
      </c>
      <c r="C237" s="3" t="s">
        <v>141</v>
      </c>
      <c r="D237" s="4">
        <f>HYPERLINK("https://cao.dolgi.msk.ru/account/1060532281/", 1060532281)</f>
        <v>1060532281</v>
      </c>
      <c r="E237" s="3">
        <v>6330.9</v>
      </c>
    </row>
    <row r="238" spans="1:5" x14ac:dyDescent="0.25">
      <c r="A238" s="3" t="s">
        <v>5</v>
      </c>
      <c r="B238" s="3" t="s">
        <v>459</v>
      </c>
      <c r="C238" s="3" t="s">
        <v>22</v>
      </c>
      <c r="D238" s="4">
        <f>HYPERLINK("https://cao.dolgi.msk.ru/account/1060532484/", 1060532484)</f>
        <v>1060532484</v>
      </c>
      <c r="E238" s="3">
        <v>30594.959999999999</v>
      </c>
    </row>
    <row r="239" spans="1:5" x14ac:dyDescent="0.25">
      <c r="A239" s="3" t="s">
        <v>5</v>
      </c>
      <c r="B239" s="3" t="s">
        <v>459</v>
      </c>
      <c r="C239" s="3" t="s">
        <v>31</v>
      </c>
      <c r="D239" s="4">
        <f>HYPERLINK("https://cao.dolgi.msk.ru/account/1060532708/", 1060532708)</f>
        <v>1060532708</v>
      </c>
      <c r="E239" s="3">
        <v>30861.9</v>
      </c>
    </row>
    <row r="240" spans="1:5" x14ac:dyDescent="0.25">
      <c r="A240" s="3" t="s">
        <v>5</v>
      </c>
      <c r="B240" s="3" t="s">
        <v>460</v>
      </c>
      <c r="C240" s="3" t="s">
        <v>130</v>
      </c>
      <c r="D240" s="4">
        <f>HYPERLINK("https://cao.dolgi.msk.ru/account/1069144488/", 1069144488)</f>
        <v>1069144488</v>
      </c>
      <c r="E240" s="3">
        <v>31993.65</v>
      </c>
    </row>
    <row r="241" spans="1:5" x14ac:dyDescent="0.25">
      <c r="A241" s="3" t="s">
        <v>5</v>
      </c>
      <c r="B241" s="3" t="s">
        <v>460</v>
      </c>
      <c r="C241" s="3" t="s">
        <v>9</v>
      </c>
      <c r="D241" s="4">
        <f>HYPERLINK("https://cao.dolgi.msk.ru/account/1069145464/", 1069145464)</f>
        <v>1069145464</v>
      </c>
      <c r="E241" s="3">
        <v>19461.54</v>
      </c>
    </row>
    <row r="242" spans="1:5" x14ac:dyDescent="0.25">
      <c r="A242" s="3" t="s">
        <v>5</v>
      </c>
      <c r="B242" s="3" t="s">
        <v>460</v>
      </c>
      <c r="C242" s="3" t="s">
        <v>139</v>
      </c>
      <c r="D242" s="4">
        <f>HYPERLINK("https://cao.dolgi.msk.ru/account/1069144568/", 1069144568)</f>
        <v>1069144568</v>
      </c>
      <c r="E242" s="3">
        <v>9621.0300000000007</v>
      </c>
    </row>
    <row r="243" spans="1:5" x14ac:dyDescent="0.25">
      <c r="A243" s="3" t="s">
        <v>5</v>
      </c>
      <c r="B243" s="3" t="s">
        <v>460</v>
      </c>
      <c r="C243" s="3" t="s">
        <v>141</v>
      </c>
      <c r="D243" s="4">
        <f>HYPERLINK("https://cao.dolgi.msk.ru/account/1069145528/", 1069145528)</f>
        <v>1069145528</v>
      </c>
      <c r="E243" s="3">
        <v>18224.310000000001</v>
      </c>
    </row>
    <row r="244" spans="1:5" x14ac:dyDescent="0.25">
      <c r="A244" s="3" t="s">
        <v>5</v>
      </c>
      <c r="B244" s="3" t="s">
        <v>460</v>
      </c>
      <c r="C244" s="3" t="s">
        <v>142</v>
      </c>
      <c r="D244" s="4">
        <f>HYPERLINK("https://cao.dolgi.msk.ru/account/1069144584/", 1069144584)</f>
        <v>1069144584</v>
      </c>
      <c r="E244" s="3">
        <v>46506.2</v>
      </c>
    </row>
    <row r="245" spans="1:5" x14ac:dyDescent="0.25">
      <c r="A245" s="3" t="s">
        <v>5</v>
      </c>
      <c r="B245" s="3" t="s">
        <v>460</v>
      </c>
      <c r="C245" s="3" t="s">
        <v>39</v>
      </c>
      <c r="D245" s="4">
        <f>HYPERLINK("https://cao.dolgi.msk.ru/account/1069145632/", 1069145632)</f>
        <v>1069145632</v>
      </c>
      <c r="E245" s="3">
        <v>35215.019999999997</v>
      </c>
    </row>
    <row r="246" spans="1:5" x14ac:dyDescent="0.25">
      <c r="A246" s="3" t="s">
        <v>5</v>
      </c>
      <c r="B246" s="3" t="s">
        <v>460</v>
      </c>
      <c r="C246" s="3" t="s">
        <v>61</v>
      </c>
      <c r="D246" s="4">
        <f>HYPERLINK("https://cao.dolgi.msk.ru/account/1069145309/", 1069145309)</f>
        <v>1069145309</v>
      </c>
      <c r="E246" s="3">
        <v>5445.24</v>
      </c>
    </row>
    <row r="247" spans="1:5" x14ac:dyDescent="0.25">
      <c r="A247" s="3" t="s">
        <v>5</v>
      </c>
      <c r="B247" s="3" t="s">
        <v>460</v>
      </c>
      <c r="C247" s="3" t="s">
        <v>63</v>
      </c>
      <c r="D247" s="4">
        <f>HYPERLINK("https://cao.dolgi.msk.ru/account/1069144904/", 1069144904)</f>
        <v>1069144904</v>
      </c>
      <c r="E247" s="3">
        <v>5991.6</v>
      </c>
    </row>
    <row r="248" spans="1:5" x14ac:dyDescent="0.25">
      <c r="A248" s="3" t="s">
        <v>5</v>
      </c>
      <c r="B248" s="3" t="s">
        <v>460</v>
      </c>
      <c r="C248" s="3" t="s">
        <v>101</v>
      </c>
      <c r="D248" s="4">
        <f>HYPERLINK("https://cao.dolgi.msk.ru/account/1069145237/", 1069145237)</f>
        <v>1069145237</v>
      </c>
      <c r="E248" s="3">
        <v>8770.69</v>
      </c>
    </row>
    <row r="249" spans="1:5" x14ac:dyDescent="0.25">
      <c r="A249" s="3" t="s">
        <v>5</v>
      </c>
      <c r="B249" s="3" t="s">
        <v>460</v>
      </c>
      <c r="C249" s="3" t="s">
        <v>103</v>
      </c>
      <c r="D249" s="4">
        <f>HYPERLINK("https://cao.dolgi.msk.ru/account/1069145931/", 1069145931)</f>
        <v>1069145931</v>
      </c>
      <c r="E249" s="3">
        <v>22428.37</v>
      </c>
    </row>
    <row r="250" spans="1:5" x14ac:dyDescent="0.25">
      <c r="A250" s="3" t="s">
        <v>5</v>
      </c>
      <c r="B250" s="3" t="s">
        <v>460</v>
      </c>
      <c r="C250" s="3" t="s">
        <v>104</v>
      </c>
      <c r="D250" s="4">
        <f>HYPERLINK("https://cao.dolgi.msk.ru/account/1069145974/", 1069145974)</f>
        <v>1069145974</v>
      </c>
      <c r="E250" s="3">
        <v>21412.31</v>
      </c>
    </row>
    <row r="251" spans="1:5" x14ac:dyDescent="0.25">
      <c r="A251" s="3" t="s">
        <v>5</v>
      </c>
      <c r="B251" s="3" t="s">
        <v>460</v>
      </c>
      <c r="C251" s="3" t="s">
        <v>112</v>
      </c>
      <c r="D251" s="4">
        <f>HYPERLINK("https://cao.dolgi.msk.ru/account/1069145982/", 1069145982)</f>
        <v>1069145982</v>
      </c>
      <c r="E251" s="3">
        <v>6462.22</v>
      </c>
    </row>
    <row r="252" spans="1:5" x14ac:dyDescent="0.25">
      <c r="A252" s="3" t="s">
        <v>5</v>
      </c>
      <c r="B252" s="3" t="s">
        <v>460</v>
      </c>
      <c r="C252" s="3" t="s">
        <v>114</v>
      </c>
      <c r="D252" s="4">
        <f>HYPERLINK("https://cao.dolgi.msk.ru/account/1069146002/", 1069146002)</f>
        <v>1069146002</v>
      </c>
      <c r="E252" s="3">
        <v>8169.25</v>
      </c>
    </row>
    <row r="253" spans="1:5" x14ac:dyDescent="0.25">
      <c r="A253" s="3" t="s">
        <v>5</v>
      </c>
      <c r="B253" s="3" t="s">
        <v>460</v>
      </c>
      <c r="C253" s="3" t="s">
        <v>115</v>
      </c>
      <c r="D253" s="4">
        <f>HYPERLINK("https://cao.dolgi.msk.ru/account/1069145157/", 1069145157)</f>
        <v>1069145157</v>
      </c>
      <c r="E253" s="3">
        <v>6391.24</v>
      </c>
    </row>
    <row r="254" spans="1:5" x14ac:dyDescent="0.25">
      <c r="A254" s="3" t="s">
        <v>5</v>
      </c>
      <c r="B254" s="3" t="s">
        <v>461</v>
      </c>
      <c r="C254" s="3" t="s">
        <v>130</v>
      </c>
      <c r="D254" s="4">
        <f>HYPERLINK("https://cao.dolgi.msk.ru/account/1060443975/", 1060443975)</f>
        <v>1060443975</v>
      </c>
      <c r="E254" s="3">
        <v>11013.12</v>
      </c>
    </row>
    <row r="255" spans="1:5" x14ac:dyDescent="0.25">
      <c r="A255" s="3" t="s">
        <v>5</v>
      </c>
      <c r="B255" s="3" t="s">
        <v>461</v>
      </c>
      <c r="C255" s="3" t="s">
        <v>141</v>
      </c>
      <c r="D255" s="4">
        <f>HYPERLINK("https://cao.dolgi.msk.ru/account/1060444142/", 1060444142)</f>
        <v>1060444142</v>
      </c>
      <c r="E255" s="3">
        <v>53799.13</v>
      </c>
    </row>
    <row r="256" spans="1:5" x14ac:dyDescent="0.25">
      <c r="A256" s="3" t="s">
        <v>5</v>
      </c>
      <c r="B256" s="3" t="s">
        <v>461</v>
      </c>
      <c r="C256" s="3" t="s">
        <v>23</v>
      </c>
      <c r="D256" s="4">
        <f>HYPERLINK("https://cao.dolgi.msk.ru/account/1060444353/", 1060444353)</f>
        <v>1060444353</v>
      </c>
      <c r="E256" s="3">
        <v>6584.5</v>
      </c>
    </row>
    <row r="257" spans="1:5" x14ac:dyDescent="0.25">
      <c r="A257" s="3" t="s">
        <v>5</v>
      </c>
      <c r="B257" s="3" t="s">
        <v>461</v>
      </c>
      <c r="C257" s="3" t="s">
        <v>28</v>
      </c>
      <c r="D257" s="4">
        <f>HYPERLINK("https://cao.dolgi.msk.ru/account/1060444417/", 1060444417)</f>
        <v>1060444417</v>
      </c>
      <c r="E257" s="3">
        <v>21560.37</v>
      </c>
    </row>
    <row r="258" spans="1:5" x14ac:dyDescent="0.25">
      <c r="A258" s="3" t="s">
        <v>5</v>
      </c>
      <c r="B258" s="3" t="s">
        <v>461</v>
      </c>
      <c r="C258" s="3" t="s">
        <v>36</v>
      </c>
      <c r="D258" s="4">
        <f>HYPERLINK("https://cao.dolgi.msk.ru/account/1060444492/", 1060444492)</f>
        <v>1060444492</v>
      </c>
      <c r="E258" s="3">
        <v>4965.17</v>
      </c>
    </row>
    <row r="259" spans="1:5" x14ac:dyDescent="0.25">
      <c r="A259" s="3" t="s">
        <v>5</v>
      </c>
      <c r="B259" s="3" t="s">
        <v>461</v>
      </c>
      <c r="C259" s="3" t="s">
        <v>52</v>
      </c>
      <c r="D259" s="4">
        <f>HYPERLINK("https://cao.dolgi.msk.ru/account/1060444687/", 1060444687)</f>
        <v>1060444687</v>
      </c>
      <c r="E259" s="3">
        <v>8650.74</v>
      </c>
    </row>
    <row r="260" spans="1:5" x14ac:dyDescent="0.25">
      <c r="A260" s="3" t="s">
        <v>5</v>
      </c>
      <c r="B260" s="3" t="s">
        <v>461</v>
      </c>
      <c r="C260" s="3" t="s">
        <v>57</v>
      </c>
      <c r="D260" s="4">
        <f>HYPERLINK("https://cao.dolgi.msk.ru/account/1060444732/", 1060444732)</f>
        <v>1060444732</v>
      </c>
      <c r="E260" s="3">
        <v>4675.95</v>
      </c>
    </row>
    <row r="261" spans="1:5" x14ac:dyDescent="0.25">
      <c r="A261" s="3" t="s">
        <v>5</v>
      </c>
      <c r="B261" s="3" t="s">
        <v>461</v>
      </c>
      <c r="C261" s="3" t="s">
        <v>65</v>
      </c>
      <c r="D261" s="4">
        <f>HYPERLINK("https://cao.dolgi.msk.ru/account/1060881537/", 1060881537)</f>
        <v>1060881537</v>
      </c>
      <c r="E261" s="3">
        <v>4338.24</v>
      </c>
    </row>
    <row r="262" spans="1:5" x14ac:dyDescent="0.25">
      <c r="A262" s="3" t="s">
        <v>5</v>
      </c>
      <c r="B262" s="3" t="s">
        <v>461</v>
      </c>
      <c r="C262" s="3" t="s">
        <v>78</v>
      </c>
      <c r="D262" s="4">
        <f>HYPERLINK("https://cao.dolgi.msk.ru/account/1060444935/", 1060444935)</f>
        <v>1060444935</v>
      </c>
      <c r="E262" s="3">
        <v>9800.7199999999993</v>
      </c>
    </row>
    <row r="263" spans="1:5" x14ac:dyDescent="0.25">
      <c r="A263" s="3" t="s">
        <v>5</v>
      </c>
      <c r="B263" s="3" t="s">
        <v>461</v>
      </c>
      <c r="C263" s="3" t="s">
        <v>85</v>
      </c>
      <c r="D263" s="4">
        <f>HYPERLINK("https://cao.dolgi.msk.ru/account/1060445014/", 1060445014)</f>
        <v>1060445014</v>
      </c>
      <c r="E263" s="3">
        <v>4080.15</v>
      </c>
    </row>
    <row r="264" spans="1:5" x14ac:dyDescent="0.25">
      <c r="A264" s="3" t="s">
        <v>5</v>
      </c>
      <c r="B264" s="3" t="s">
        <v>461</v>
      </c>
      <c r="C264" s="3" t="s">
        <v>144</v>
      </c>
      <c r="D264" s="4">
        <f>HYPERLINK("https://cao.dolgi.msk.ru/account/1060445065/", 1060445065)</f>
        <v>1060445065</v>
      </c>
      <c r="E264" s="3">
        <v>64714.9</v>
      </c>
    </row>
    <row r="265" spans="1:5" x14ac:dyDescent="0.25">
      <c r="A265" s="3" t="s">
        <v>5</v>
      </c>
      <c r="B265" s="3" t="s">
        <v>461</v>
      </c>
      <c r="C265" s="3" t="s">
        <v>91</v>
      </c>
      <c r="D265" s="4">
        <f>HYPERLINK("https://cao.dolgi.msk.ru/account/1060445081/", 1060445081)</f>
        <v>1060445081</v>
      </c>
      <c r="E265" s="3">
        <v>4036.63</v>
      </c>
    </row>
    <row r="266" spans="1:5" x14ac:dyDescent="0.25">
      <c r="A266" s="3" t="s">
        <v>5</v>
      </c>
      <c r="B266" s="3" t="s">
        <v>462</v>
      </c>
      <c r="C266" s="3" t="s">
        <v>132</v>
      </c>
      <c r="D266" s="4">
        <f>HYPERLINK("https://cao.dolgi.msk.ru/account/1060816487/", 1060816487)</f>
        <v>1060816487</v>
      </c>
      <c r="E266" s="3">
        <v>20755.75</v>
      </c>
    </row>
    <row r="267" spans="1:5" x14ac:dyDescent="0.25">
      <c r="A267" s="3" t="s">
        <v>5</v>
      </c>
      <c r="B267" s="3" t="s">
        <v>462</v>
      </c>
      <c r="C267" s="3" t="s">
        <v>15</v>
      </c>
      <c r="D267" s="4">
        <f>HYPERLINK("https://cao.dolgi.msk.ru/account/1060445487/", 1060445487)</f>
        <v>1060445487</v>
      </c>
      <c r="E267" s="3">
        <v>65332.639999999999</v>
      </c>
    </row>
    <row r="268" spans="1:5" x14ac:dyDescent="0.25">
      <c r="A268" s="3" t="s">
        <v>5</v>
      </c>
      <c r="B268" s="3" t="s">
        <v>462</v>
      </c>
      <c r="C268" s="3" t="s">
        <v>16</v>
      </c>
      <c r="D268" s="4">
        <f>HYPERLINK("https://cao.dolgi.msk.ru/account/1060445495/", 1060445495)</f>
        <v>1060445495</v>
      </c>
      <c r="E268" s="3">
        <v>96686.19</v>
      </c>
    </row>
    <row r="269" spans="1:5" x14ac:dyDescent="0.25">
      <c r="A269" s="3" t="s">
        <v>5</v>
      </c>
      <c r="B269" s="3" t="s">
        <v>462</v>
      </c>
      <c r="C269" s="3" t="s">
        <v>26</v>
      </c>
      <c r="D269" s="4">
        <f>HYPERLINK("https://cao.dolgi.msk.ru/account/1060445604/", 1060445604)</f>
        <v>1060445604</v>
      </c>
      <c r="E269" s="3">
        <v>7392.86</v>
      </c>
    </row>
    <row r="270" spans="1:5" x14ac:dyDescent="0.25">
      <c r="A270" s="3" t="s">
        <v>5</v>
      </c>
      <c r="B270" s="3" t="s">
        <v>462</v>
      </c>
      <c r="C270" s="3" t="s">
        <v>33</v>
      </c>
      <c r="D270" s="4">
        <f>HYPERLINK("https://cao.dolgi.msk.ru/account/1060445671/", 1060445671)</f>
        <v>1060445671</v>
      </c>
      <c r="E270" s="3">
        <v>8764.77</v>
      </c>
    </row>
    <row r="271" spans="1:5" x14ac:dyDescent="0.25">
      <c r="A271" s="3" t="s">
        <v>5</v>
      </c>
      <c r="B271" s="3" t="s">
        <v>462</v>
      </c>
      <c r="C271" s="3" t="s">
        <v>34</v>
      </c>
      <c r="D271" s="4">
        <f>HYPERLINK("https://cao.dolgi.msk.ru/account/1060445698/", 1060445698)</f>
        <v>1060445698</v>
      </c>
      <c r="E271" s="3">
        <v>4436.78</v>
      </c>
    </row>
    <row r="272" spans="1:5" x14ac:dyDescent="0.25">
      <c r="A272" s="3" t="s">
        <v>5</v>
      </c>
      <c r="B272" s="3" t="s">
        <v>462</v>
      </c>
      <c r="C272" s="3" t="s">
        <v>56</v>
      </c>
      <c r="D272" s="4">
        <f>HYPERLINK("https://cao.dolgi.msk.ru/account/1060445954/", 1060445954)</f>
        <v>1060445954</v>
      </c>
      <c r="E272" s="3">
        <v>6932.87</v>
      </c>
    </row>
    <row r="273" spans="1:5" x14ac:dyDescent="0.25">
      <c r="A273" s="3" t="s">
        <v>5</v>
      </c>
      <c r="B273" s="3" t="s">
        <v>462</v>
      </c>
      <c r="C273" s="3" t="s">
        <v>59</v>
      </c>
      <c r="D273" s="4">
        <f>HYPERLINK("https://cao.dolgi.msk.ru/account/1060445997/", 1060445997)</f>
        <v>1060445997</v>
      </c>
      <c r="E273" s="3">
        <v>15657.24</v>
      </c>
    </row>
    <row r="274" spans="1:5" x14ac:dyDescent="0.25">
      <c r="A274" s="3" t="s">
        <v>5</v>
      </c>
      <c r="B274" s="3" t="s">
        <v>462</v>
      </c>
      <c r="C274" s="3" t="s">
        <v>66</v>
      </c>
      <c r="D274" s="4">
        <f>HYPERLINK("https://cao.dolgi.msk.ru/account/1060446076/", 1060446076)</f>
        <v>1060446076</v>
      </c>
      <c r="E274" s="3">
        <v>91202.98</v>
      </c>
    </row>
    <row r="275" spans="1:5" x14ac:dyDescent="0.25">
      <c r="A275" s="3" t="s">
        <v>5</v>
      </c>
      <c r="B275" s="3" t="s">
        <v>462</v>
      </c>
      <c r="C275" s="3" t="s">
        <v>91</v>
      </c>
      <c r="D275" s="4">
        <f>HYPERLINK("https://cao.dolgi.msk.ru/account/1060446316/", 1060446316)</f>
        <v>1060446316</v>
      </c>
      <c r="E275" s="3">
        <v>196542.16</v>
      </c>
    </row>
    <row r="276" spans="1:5" x14ac:dyDescent="0.25">
      <c r="A276" s="3" t="s">
        <v>5</v>
      </c>
      <c r="B276" s="3" t="s">
        <v>462</v>
      </c>
      <c r="C276" s="3" t="s">
        <v>93</v>
      </c>
      <c r="D276" s="4">
        <f>HYPERLINK("https://cao.dolgi.msk.ru/account/1060446332/", 1060446332)</f>
        <v>1060446332</v>
      </c>
      <c r="E276" s="3">
        <v>159210.76</v>
      </c>
    </row>
    <row r="277" spans="1:5" x14ac:dyDescent="0.25">
      <c r="A277" s="3" t="s">
        <v>5</v>
      </c>
      <c r="B277" s="3" t="s">
        <v>463</v>
      </c>
      <c r="C277" s="3" t="s">
        <v>51</v>
      </c>
      <c r="D277" s="4">
        <f>HYPERLINK("https://cao.dolgi.msk.ru/account/1060855603/", 1060855603)</f>
        <v>1060855603</v>
      </c>
      <c r="E277" s="3">
        <v>10706.13</v>
      </c>
    </row>
    <row r="278" spans="1:5" x14ac:dyDescent="0.25">
      <c r="A278" s="3" t="s">
        <v>5</v>
      </c>
      <c r="B278" s="3" t="s">
        <v>463</v>
      </c>
      <c r="C278" s="3" t="s">
        <v>134</v>
      </c>
      <c r="D278" s="4">
        <f>HYPERLINK("https://cao.dolgi.msk.ru/account/1060740945/", 1060740945)</f>
        <v>1060740945</v>
      </c>
      <c r="E278" s="3">
        <v>2929.93</v>
      </c>
    </row>
    <row r="279" spans="1:5" x14ac:dyDescent="0.25">
      <c r="A279" s="3" t="s">
        <v>5</v>
      </c>
      <c r="B279" s="3" t="s">
        <v>463</v>
      </c>
      <c r="C279" s="3" t="s">
        <v>135</v>
      </c>
      <c r="D279" s="4">
        <f>HYPERLINK("https://cao.dolgi.msk.ru/account/1060740953/", 1060740953)</f>
        <v>1060740953</v>
      </c>
      <c r="E279" s="3">
        <v>60494.79</v>
      </c>
    </row>
    <row r="280" spans="1:5" x14ac:dyDescent="0.25">
      <c r="A280" s="3" t="s">
        <v>5</v>
      </c>
      <c r="B280" s="3" t="s">
        <v>464</v>
      </c>
      <c r="C280" s="3" t="s">
        <v>37</v>
      </c>
      <c r="D280" s="4">
        <f>HYPERLINK("https://cao.dolgi.msk.ru/account/1060887058/", 1060887058)</f>
        <v>1060887058</v>
      </c>
      <c r="E280" s="3">
        <v>34258.83</v>
      </c>
    </row>
    <row r="281" spans="1:5" x14ac:dyDescent="0.25">
      <c r="A281" s="3" t="s">
        <v>5</v>
      </c>
      <c r="B281" s="3" t="s">
        <v>464</v>
      </c>
      <c r="C281" s="3" t="s">
        <v>45</v>
      </c>
      <c r="D281" s="4">
        <f>HYPERLINK("https://cao.dolgi.msk.ru/account/1060545031/", 1060545031)</f>
        <v>1060545031</v>
      </c>
      <c r="E281" s="3">
        <v>4108.91</v>
      </c>
    </row>
    <row r="282" spans="1:5" x14ac:dyDescent="0.25">
      <c r="A282" s="3" t="s">
        <v>5</v>
      </c>
      <c r="B282" s="3" t="s">
        <v>464</v>
      </c>
      <c r="C282" s="3" t="s">
        <v>54</v>
      </c>
      <c r="D282" s="4">
        <f>HYPERLINK("https://cao.dolgi.msk.ru/account/1060545146/", 1060545146)</f>
        <v>1060545146</v>
      </c>
      <c r="E282" s="3">
        <v>12123.2</v>
      </c>
    </row>
    <row r="283" spans="1:5" x14ac:dyDescent="0.25">
      <c r="A283" s="3" t="s">
        <v>5</v>
      </c>
      <c r="B283" s="3" t="s">
        <v>464</v>
      </c>
      <c r="C283" s="3" t="s">
        <v>63</v>
      </c>
      <c r="D283" s="4">
        <f>HYPERLINK("https://cao.dolgi.msk.ru/account/1060545269/", 1060545269)</f>
        <v>1060545269</v>
      </c>
      <c r="E283" s="3">
        <v>6796.04</v>
      </c>
    </row>
    <row r="284" spans="1:5" x14ac:dyDescent="0.25">
      <c r="A284" s="3" t="s">
        <v>5</v>
      </c>
      <c r="B284" s="3" t="s">
        <v>464</v>
      </c>
      <c r="C284" s="3" t="s">
        <v>78</v>
      </c>
      <c r="D284" s="4">
        <f>HYPERLINK("https://cao.dolgi.msk.ru/account/1060545373/", 1060545373)</f>
        <v>1060545373</v>
      </c>
      <c r="E284" s="3">
        <v>256490.86</v>
      </c>
    </row>
    <row r="285" spans="1:5" x14ac:dyDescent="0.25">
      <c r="A285" s="3" t="s">
        <v>5</v>
      </c>
      <c r="B285" s="3" t="s">
        <v>465</v>
      </c>
      <c r="C285" s="3" t="s">
        <v>30</v>
      </c>
      <c r="D285" s="4">
        <f>HYPERLINK("https://cao.dolgi.msk.ru/account/1060449031/", 1060449031)</f>
        <v>1060449031</v>
      </c>
      <c r="E285" s="3">
        <v>4813.3500000000004</v>
      </c>
    </row>
    <row r="286" spans="1:5" x14ac:dyDescent="0.25">
      <c r="A286" s="3" t="s">
        <v>5</v>
      </c>
      <c r="B286" s="3" t="s">
        <v>465</v>
      </c>
      <c r="C286" s="3" t="s">
        <v>132</v>
      </c>
      <c r="D286" s="4">
        <f>HYPERLINK("https://cao.dolgi.msk.ru/account/1060449111/", 1060449111)</f>
        <v>1060449111</v>
      </c>
      <c r="E286" s="3">
        <v>16643.48</v>
      </c>
    </row>
    <row r="287" spans="1:5" x14ac:dyDescent="0.25">
      <c r="A287" s="3" t="s">
        <v>5</v>
      </c>
      <c r="B287" s="3" t="s">
        <v>465</v>
      </c>
      <c r="C287" s="3" t="s">
        <v>13</v>
      </c>
      <c r="D287" s="4">
        <f>HYPERLINK("https://cao.dolgi.msk.ru/account/1060449306/", 1060449306)</f>
        <v>1060449306</v>
      </c>
      <c r="E287" s="3">
        <v>22233.52</v>
      </c>
    </row>
    <row r="288" spans="1:5" x14ac:dyDescent="0.25">
      <c r="A288" s="3" t="s">
        <v>5</v>
      </c>
      <c r="B288" s="3" t="s">
        <v>465</v>
      </c>
      <c r="C288" s="3" t="s">
        <v>14</v>
      </c>
      <c r="D288" s="4">
        <f>HYPERLINK("https://cao.dolgi.msk.ru/account/1060449314/", 1060449314)</f>
        <v>1060449314</v>
      </c>
      <c r="E288" s="3">
        <v>6830.85</v>
      </c>
    </row>
    <row r="289" spans="1:5" x14ac:dyDescent="0.25">
      <c r="A289" s="3" t="s">
        <v>5</v>
      </c>
      <c r="B289" s="3" t="s">
        <v>465</v>
      </c>
      <c r="C289" s="3" t="s">
        <v>16</v>
      </c>
      <c r="D289" s="4">
        <f>HYPERLINK("https://cao.dolgi.msk.ru/account/1060449349/", 1060449349)</f>
        <v>1060449349</v>
      </c>
      <c r="E289" s="3">
        <v>3603.55</v>
      </c>
    </row>
    <row r="290" spans="1:5" x14ac:dyDescent="0.25">
      <c r="A290" s="3" t="s">
        <v>5</v>
      </c>
      <c r="B290" s="3" t="s">
        <v>465</v>
      </c>
      <c r="C290" s="3" t="s">
        <v>23</v>
      </c>
      <c r="D290" s="4">
        <f>HYPERLINK("https://cao.dolgi.msk.ru/account/1060449437/", 1060449437)</f>
        <v>1060449437</v>
      </c>
      <c r="E290" s="3">
        <v>7652.5</v>
      </c>
    </row>
    <row r="291" spans="1:5" x14ac:dyDescent="0.25">
      <c r="A291" s="3" t="s">
        <v>5</v>
      </c>
      <c r="B291" s="3" t="s">
        <v>465</v>
      </c>
      <c r="C291" s="3" t="s">
        <v>33</v>
      </c>
      <c r="D291" s="4">
        <f>HYPERLINK("https://cao.dolgi.msk.ru/account/1060449533/", 1060449533)</f>
        <v>1060449533</v>
      </c>
      <c r="E291" s="3">
        <v>8891.85</v>
      </c>
    </row>
    <row r="292" spans="1:5" x14ac:dyDescent="0.25">
      <c r="A292" s="3" t="s">
        <v>5</v>
      </c>
      <c r="B292" s="3" t="s">
        <v>465</v>
      </c>
      <c r="C292" s="3" t="s">
        <v>42</v>
      </c>
      <c r="D292" s="4">
        <f>HYPERLINK("https://cao.dolgi.msk.ru/account/1060449648/", 1060449648)</f>
        <v>1060449648</v>
      </c>
      <c r="E292" s="3">
        <v>10992.32</v>
      </c>
    </row>
    <row r="293" spans="1:5" x14ac:dyDescent="0.25">
      <c r="A293" s="3" t="s">
        <v>5</v>
      </c>
      <c r="B293" s="3" t="s">
        <v>465</v>
      </c>
      <c r="C293" s="3" t="s">
        <v>47</v>
      </c>
      <c r="D293" s="4">
        <f>HYPERLINK("https://cao.dolgi.msk.ru/account/1060449701/", 1060449701)</f>
        <v>1060449701</v>
      </c>
      <c r="E293" s="3">
        <v>8642.68</v>
      </c>
    </row>
    <row r="294" spans="1:5" x14ac:dyDescent="0.25">
      <c r="A294" s="3" t="s">
        <v>5</v>
      </c>
      <c r="B294" s="3" t="s">
        <v>465</v>
      </c>
      <c r="C294" s="3" t="s">
        <v>76</v>
      </c>
      <c r="D294" s="4">
        <f>HYPERLINK("https://cao.dolgi.msk.ru/account/1060071438/", 1060071438)</f>
        <v>1060071438</v>
      </c>
      <c r="E294" s="3">
        <v>4002.58</v>
      </c>
    </row>
    <row r="295" spans="1:5" x14ac:dyDescent="0.25">
      <c r="A295" s="3" t="s">
        <v>5</v>
      </c>
      <c r="B295" s="3" t="s">
        <v>465</v>
      </c>
      <c r="C295" s="3" t="s">
        <v>96</v>
      </c>
      <c r="D295" s="4">
        <f>HYPERLINK("https://cao.dolgi.msk.ru/account/1060450219/", 1060450219)</f>
        <v>1060450219</v>
      </c>
      <c r="E295" s="3">
        <v>5666.29</v>
      </c>
    </row>
    <row r="296" spans="1:5" x14ac:dyDescent="0.25">
      <c r="A296" s="3" t="s">
        <v>5</v>
      </c>
      <c r="B296" s="3" t="s">
        <v>465</v>
      </c>
      <c r="C296" s="3" t="s">
        <v>97</v>
      </c>
      <c r="D296" s="4">
        <f>HYPERLINK("https://cao.dolgi.msk.ru/account/1060450227/", 1060450227)</f>
        <v>1060450227</v>
      </c>
      <c r="E296" s="3">
        <v>5483.58</v>
      </c>
    </row>
    <row r="297" spans="1:5" x14ac:dyDescent="0.25">
      <c r="A297" s="3" t="s">
        <v>5</v>
      </c>
      <c r="B297" s="3" t="s">
        <v>465</v>
      </c>
      <c r="C297" s="3" t="s">
        <v>148</v>
      </c>
      <c r="D297" s="4">
        <f>HYPERLINK("https://cao.dolgi.msk.ru/account/1060450331/", 1060450331)</f>
        <v>1060450331</v>
      </c>
      <c r="E297" s="3">
        <v>19094.189999999999</v>
      </c>
    </row>
    <row r="298" spans="1:5" x14ac:dyDescent="0.25">
      <c r="A298" s="3" t="s">
        <v>5</v>
      </c>
      <c r="B298" s="3" t="s">
        <v>465</v>
      </c>
      <c r="C298" s="3" t="s">
        <v>106</v>
      </c>
      <c r="D298" s="4">
        <f>HYPERLINK("https://cao.dolgi.msk.ru/account/1060450366/", 1060450366)</f>
        <v>1060450366</v>
      </c>
      <c r="E298" s="3">
        <v>17732.849999999999</v>
      </c>
    </row>
    <row r="299" spans="1:5" x14ac:dyDescent="0.25">
      <c r="A299" s="3" t="s">
        <v>5</v>
      </c>
      <c r="B299" s="3" t="s">
        <v>465</v>
      </c>
      <c r="C299" s="3" t="s">
        <v>178</v>
      </c>
      <c r="D299" s="4">
        <f>HYPERLINK("https://cao.dolgi.msk.ru/account/1060450841/", 1060450841)</f>
        <v>1060450841</v>
      </c>
      <c r="E299" s="3">
        <v>16211.95</v>
      </c>
    </row>
    <row r="300" spans="1:5" x14ac:dyDescent="0.25">
      <c r="A300" s="3" t="s">
        <v>5</v>
      </c>
      <c r="B300" s="3" t="s">
        <v>465</v>
      </c>
      <c r="C300" s="3" t="s">
        <v>191</v>
      </c>
      <c r="D300" s="4">
        <f>HYPERLINK("https://cao.dolgi.msk.ru/account/1060451019/", 1060451019)</f>
        <v>1060451019</v>
      </c>
      <c r="E300" s="3">
        <v>6765.96</v>
      </c>
    </row>
    <row r="301" spans="1:5" x14ac:dyDescent="0.25">
      <c r="A301" s="3" t="s">
        <v>5</v>
      </c>
      <c r="B301" s="3" t="s">
        <v>465</v>
      </c>
      <c r="C301" s="3" t="s">
        <v>196</v>
      </c>
      <c r="D301" s="4">
        <f>HYPERLINK("https://cao.dolgi.msk.ru/account/1060451078/", 1060451078)</f>
        <v>1060451078</v>
      </c>
      <c r="E301" s="3">
        <v>17577.71</v>
      </c>
    </row>
    <row r="302" spans="1:5" x14ac:dyDescent="0.25">
      <c r="A302" s="3" t="s">
        <v>5</v>
      </c>
      <c r="B302" s="3" t="s">
        <v>465</v>
      </c>
      <c r="C302" s="3" t="s">
        <v>210</v>
      </c>
      <c r="D302" s="4">
        <f>HYPERLINK("https://cao.dolgi.msk.ru/account/1060451182/", 1060451182)</f>
        <v>1060451182</v>
      </c>
      <c r="E302" s="3">
        <v>78192.23</v>
      </c>
    </row>
    <row r="303" spans="1:5" x14ac:dyDescent="0.25">
      <c r="A303" s="3" t="s">
        <v>5</v>
      </c>
      <c r="B303" s="3" t="s">
        <v>465</v>
      </c>
      <c r="C303" s="3" t="s">
        <v>242</v>
      </c>
      <c r="D303" s="4">
        <f>HYPERLINK("https://cao.dolgi.msk.ru/account/1060451609/", 1060451609)</f>
        <v>1060451609</v>
      </c>
      <c r="E303" s="3">
        <v>13719.36</v>
      </c>
    </row>
    <row r="304" spans="1:5" x14ac:dyDescent="0.25">
      <c r="A304" s="3" t="s">
        <v>5</v>
      </c>
      <c r="B304" s="3" t="s">
        <v>465</v>
      </c>
      <c r="C304" s="3" t="s">
        <v>259</v>
      </c>
      <c r="D304" s="4">
        <f>HYPERLINK("https://cao.dolgi.msk.ru/account/1060451801/", 1060451801)</f>
        <v>1060451801</v>
      </c>
      <c r="E304" s="3">
        <v>262874.26</v>
      </c>
    </row>
    <row r="305" spans="1:5" x14ac:dyDescent="0.25">
      <c r="A305" s="3" t="s">
        <v>5</v>
      </c>
      <c r="B305" s="3" t="s">
        <v>465</v>
      </c>
      <c r="C305" s="3" t="s">
        <v>269</v>
      </c>
      <c r="D305" s="4">
        <f>HYPERLINK("https://cao.dolgi.msk.ru/account/1060451932/", 1060451932)</f>
        <v>1060451932</v>
      </c>
      <c r="E305" s="3">
        <v>11161.41</v>
      </c>
    </row>
    <row r="306" spans="1:5" x14ac:dyDescent="0.25">
      <c r="A306" s="3" t="s">
        <v>5</v>
      </c>
      <c r="B306" s="3" t="s">
        <v>465</v>
      </c>
      <c r="C306" s="3" t="s">
        <v>273</v>
      </c>
      <c r="D306" s="4">
        <f>HYPERLINK("https://cao.dolgi.msk.ru/account/1060452011/", 1060452011)</f>
        <v>1060452011</v>
      </c>
      <c r="E306" s="3">
        <v>8848.92</v>
      </c>
    </row>
    <row r="307" spans="1:5" x14ac:dyDescent="0.25">
      <c r="A307" s="3" t="s">
        <v>5</v>
      </c>
      <c r="B307" s="3" t="s">
        <v>465</v>
      </c>
      <c r="C307" s="3" t="s">
        <v>286</v>
      </c>
      <c r="D307" s="4">
        <f>HYPERLINK("https://cao.dolgi.msk.ru/account/1060452214/", 1060452214)</f>
        <v>1060452214</v>
      </c>
      <c r="E307" s="3">
        <v>4270.09</v>
      </c>
    </row>
    <row r="308" spans="1:5" x14ac:dyDescent="0.25">
      <c r="A308" s="3" t="s">
        <v>5</v>
      </c>
      <c r="B308" s="3" t="s">
        <v>465</v>
      </c>
      <c r="C308" s="3" t="s">
        <v>289</v>
      </c>
      <c r="D308" s="4">
        <f>HYPERLINK("https://cao.dolgi.msk.ru/account/1060452257/", 1060452257)</f>
        <v>1060452257</v>
      </c>
      <c r="E308" s="3">
        <v>2926.62</v>
      </c>
    </row>
    <row r="309" spans="1:5" x14ac:dyDescent="0.25">
      <c r="A309" s="3" t="s">
        <v>5</v>
      </c>
      <c r="B309" s="3" t="s">
        <v>465</v>
      </c>
      <c r="C309" s="3" t="s">
        <v>290</v>
      </c>
      <c r="D309" s="4">
        <f>HYPERLINK("https://cao.dolgi.msk.ru/account/1060452265/", 1060452265)</f>
        <v>1060452265</v>
      </c>
      <c r="E309" s="3">
        <v>2687.53</v>
      </c>
    </row>
    <row r="310" spans="1:5" x14ac:dyDescent="0.25">
      <c r="A310" s="3" t="s">
        <v>5</v>
      </c>
      <c r="B310" s="3" t="s">
        <v>465</v>
      </c>
      <c r="C310" s="3" t="s">
        <v>296</v>
      </c>
      <c r="D310" s="4">
        <f>HYPERLINK("https://cao.dolgi.msk.ru/account/1060901171/", 1060901171)</f>
        <v>1060901171</v>
      </c>
      <c r="E310" s="3">
        <v>114217.86</v>
      </c>
    </row>
    <row r="311" spans="1:5" x14ac:dyDescent="0.25">
      <c r="A311" s="3" t="s">
        <v>5</v>
      </c>
      <c r="B311" s="3" t="s">
        <v>465</v>
      </c>
      <c r="C311" s="3" t="s">
        <v>306</v>
      </c>
      <c r="D311" s="4">
        <f>HYPERLINK("https://cao.dolgi.msk.ru/account/1060452687/", 1060452687)</f>
        <v>1060452687</v>
      </c>
      <c r="E311" s="3">
        <v>4428.3100000000004</v>
      </c>
    </row>
    <row r="312" spans="1:5" x14ac:dyDescent="0.25">
      <c r="A312" s="3" t="s">
        <v>5</v>
      </c>
      <c r="B312" s="3" t="s">
        <v>465</v>
      </c>
      <c r="C312" s="3" t="s">
        <v>309</v>
      </c>
      <c r="D312" s="4">
        <f>HYPERLINK("https://cao.dolgi.msk.ru/account/1060452716/", 1060452716)</f>
        <v>1060452716</v>
      </c>
      <c r="E312" s="3">
        <v>9996.42</v>
      </c>
    </row>
    <row r="313" spans="1:5" x14ac:dyDescent="0.25">
      <c r="A313" s="3" t="s">
        <v>5</v>
      </c>
      <c r="B313" s="3" t="s">
        <v>465</v>
      </c>
      <c r="C313" s="3" t="s">
        <v>311</v>
      </c>
      <c r="D313" s="4">
        <f>HYPERLINK("https://cao.dolgi.msk.ru/account/1060452759/", 1060452759)</f>
        <v>1060452759</v>
      </c>
      <c r="E313" s="3">
        <v>7833.09</v>
      </c>
    </row>
    <row r="314" spans="1:5" x14ac:dyDescent="0.25">
      <c r="A314" s="3" t="s">
        <v>5</v>
      </c>
      <c r="B314" s="3" t="s">
        <v>465</v>
      </c>
      <c r="C314" s="3" t="s">
        <v>318</v>
      </c>
      <c r="D314" s="4">
        <f>HYPERLINK("https://cao.dolgi.msk.ru/account/1060452855/", 1060452855)</f>
        <v>1060452855</v>
      </c>
      <c r="E314" s="3">
        <v>55902.03</v>
      </c>
    </row>
    <row r="315" spans="1:5" x14ac:dyDescent="0.25">
      <c r="A315" s="3" t="s">
        <v>5</v>
      </c>
      <c r="B315" s="3" t="s">
        <v>465</v>
      </c>
      <c r="C315" s="3" t="s">
        <v>324</v>
      </c>
      <c r="D315" s="4">
        <f>HYPERLINK("https://cao.dolgi.msk.ru/account/1060452951/", 1060452951)</f>
        <v>1060452951</v>
      </c>
      <c r="E315" s="3">
        <v>5327.22</v>
      </c>
    </row>
    <row r="316" spans="1:5" x14ac:dyDescent="0.25">
      <c r="A316" s="3" t="s">
        <v>5</v>
      </c>
      <c r="B316" s="3" t="s">
        <v>465</v>
      </c>
      <c r="C316" s="3" t="s">
        <v>327</v>
      </c>
      <c r="D316" s="4">
        <f>HYPERLINK("https://cao.dolgi.msk.ru/account/1060453006/", 1060453006)</f>
        <v>1060453006</v>
      </c>
      <c r="E316" s="3">
        <v>7757.92</v>
      </c>
    </row>
    <row r="317" spans="1:5" x14ac:dyDescent="0.25">
      <c r="A317" s="3" t="s">
        <v>5</v>
      </c>
      <c r="B317" s="3" t="s">
        <v>465</v>
      </c>
      <c r="C317" s="3" t="s">
        <v>339</v>
      </c>
      <c r="D317" s="4">
        <f>HYPERLINK("https://cao.dolgi.msk.ru/account/1060453188/", 1060453188)</f>
        <v>1060453188</v>
      </c>
      <c r="E317" s="3">
        <v>4526.93</v>
      </c>
    </row>
    <row r="318" spans="1:5" x14ac:dyDescent="0.25">
      <c r="A318" s="3" t="s">
        <v>5</v>
      </c>
      <c r="B318" s="3" t="s">
        <v>465</v>
      </c>
      <c r="C318" s="3" t="s">
        <v>366</v>
      </c>
      <c r="D318" s="4">
        <f>HYPERLINK("https://cao.dolgi.msk.ru/account/1060453735/", 1060453735)</f>
        <v>1060453735</v>
      </c>
      <c r="E318" s="3">
        <v>14258.8</v>
      </c>
    </row>
    <row r="319" spans="1:5" x14ac:dyDescent="0.25">
      <c r="A319" s="3" t="s">
        <v>5</v>
      </c>
      <c r="B319" s="3" t="s">
        <v>465</v>
      </c>
      <c r="C319" s="3" t="s">
        <v>383</v>
      </c>
      <c r="D319" s="4">
        <f>HYPERLINK("https://cao.dolgi.msk.ru/account/1060454033/", 1060454033)</f>
        <v>1060454033</v>
      </c>
      <c r="E319" s="3">
        <v>10177.69</v>
      </c>
    </row>
    <row r="320" spans="1:5" x14ac:dyDescent="0.25">
      <c r="A320" s="3" t="s">
        <v>5</v>
      </c>
      <c r="B320" s="3" t="s">
        <v>465</v>
      </c>
      <c r="C320" s="3" t="s">
        <v>392</v>
      </c>
      <c r="D320" s="4">
        <f>HYPERLINK("https://cao.dolgi.msk.ru/account/1060454228/", 1060454228)</f>
        <v>1060454228</v>
      </c>
      <c r="E320" s="3">
        <v>4966.92</v>
      </c>
    </row>
    <row r="321" spans="1:5" x14ac:dyDescent="0.25">
      <c r="A321" s="3" t="s">
        <v>5</v>
      </c>
      <c r="B321" s="3" t="s">
        <v>465</v>
      </c>
      <c r="C321" s="3" t="s">
        <v>406</v>
      </c>
      <c r="D321" s="4">
        <f>HYPERLINK("https://cao.dolgi.msk.ru/account/1060454527/", 1060454527)</f>
        <v>1060454527</v>
      </c>
      <c r="E321" s="3">
        <v>10672.62</v>
      </c>
    </row>
    <row r="322" spans="1:5" x14ac:dyDescent="0.25">
      <c r="A322" s="3" t="s">
        <v>5</v>
      </c>
      <c r="B322" s="3" t="s">
        <v>465</v>
      </c>
      <c r="C322" s="3" t="s">
        <v>407</v>
      </c>
      <c r="D322" s="4">
        <f>HYPERLINK("https://cao.dolgi.msk.ru/account/1060454543/", 1060454543)</f>
        <v>1060454543</v>
      </c>
      <c r="E322" s="3">
        <v>68523.37</v>
      </c>
    </row>
    <row r="323" spans="1:5" x14ac:dyDescent="0.25">
      <c r="A323" s="3" t="s">
        <v>5</v>
      </c>
      <c r="B323" s="3" t="s">
        <v>465</v>
      </c>
      <c r="C323" s="3" t="s">
        <v>409</v>
      </c>
      <c r="D323" s="4">
        <f>HYPERLINK("https://cao.dolgi.msk.ru/account/1060454578/", 1060454578)</f>
        <v>1060454578</v>
      </c>
      <c r="E323" s="3">
        <v>14562.26</v>
      </c>
    </row>
    <row r="324" spans="1:5" x14ac:dyDescent="0.25">
      <c r="A324" s="3" t="s">
        <v>5</v>
      </c>
      <c r="B324" s="3" t="s">
        <v>465</v>
      </c>
      <c r="C324" s="3" t="s">
        <v>410</v>
      </c>
      <c r="D324" s="4">
        <f>HYPERLINK("https://cao.dolgi.msk.ru/account/1060454594/", 1060454594)</f>
        <v>1060454594</v>
      </c>
      <c r="E324" s="3">
        <v>2585.8200000000002</v>
      </c>
    </row>
    <row r="325" spans="1:5" x14ac:dyDescent="0.25">
      <c r="A325" s="3" t="s">
        <v>5</v>
      </c>
      <c r="B325" s="3" t="s">
        <v>465</v>
      </c>
      <c r="C325" s="3" t="s">
        <v>411</v>
      </c>
      <c r="D325" s="4">
        <f>HYPERLINK("https://cao.dolgi.msk.ru/account/1060454615/", 1060454615)</f>
        <v>1060454615</v>
      </c>
      <c r="E325" s="3">
        <v>12272.73</v>
      </c>
    </row>
    <row r="326" spans="1:5" x14ac:dyDescent="0.25">
      <c r="A326" s="3" t="s">
        <v>5</v>
      </c>
      <c r="B326" s="3" t="s">
        <v>465</v>
      </c>
      <c r="C326" s="3" t="s">
        <v>417</v>
      </c>
      <c r="D326" s="4">
        <f>HYPERLINK("https://cao.dolgi.msk.ru/account/1060454711/", 1060454711)</f>
        <v>1060454711</v>
      </c>
      <c r="E326" s="3">
        <v>15061.24</v>
      </c>
    </row>
    <row r="327" spans="1:5" x14ac:dyDescent="0.25">
      <c r="A327" s="3" t="s">
        <v>5</v>
      </c>
      <c r="B327" s="3" t="s">
        <v>465</v>
      </c>
      <c r="C327" s="3" t="s">
        <v>418</v>
      </c>
      <c r="D327" s="4">
        <f>HYPERLINK("https://cao.dolgi.msk.ru/account/1060454762/", 1060454762)</f>
        <v>1060454762</v>
      </c>
      <c r="E327" s="3">
        <v>2958.51</v>
      </c>
    </row>
    <row r="328" spans="1:5" x14ac:dyDescent="0.25">
      <c r="A328" s="3" t="s">
        <v>5</v>
      </c>
      <c r="B328" s="3" t="s">
        <v>465</v>
      </c>
      <c r="C328" s="3" t="s">
        <v>419</v>
      </c>
      <c r="D328" s="4">
        <f>HYPERLINK("https://cao.dolgi.msk.ru/account/1060454789/", 1060454789)</f>
        <v>1060454789</v>
      </c>
      <c r="E328" s="3">
        <v>116661.87</v>
      </c>
    </row>
    <row r="329" spans="1:5" x14ac:dyDescent="0.25">
      <c r="A329" s="3" t="s">
        <v>5</v>
      </c>
      <c r="B329" s="3" t="s">
        <v>465</v>
      </c>
      <c r="C329" s="3" t="s">
        <v>420</v>
      </c>
      <c r="D329" s="4">
        <f>HYPERLINK("https://cao.dolgi.msk.ru/account/1060454826/", 1060454826)</f>
        <v>1060454826</v>
      </c>
      <c r="E329" s="3">
        <v>18511.23</v>
      </c>
    </row>
    <row r="330" spans="1:5" x14ac:dyDescent="0.25">
      <c r="A330" s="3" t="s">
        <v>5</v>
      </c>
      <c r="B330" s="3" t="s">
        <v>465</v>
      </c>
      <c r="C330" s="3" t="s">
        <v>421</v>
      </c>
      <c r="D330" s="4">
        <f>HYPERLINK("https://cao.dolgi.msk.ru/account/1060454842/", 1060454842)</f>
        <v>1060454842</v>
      </c>
      <c r="E330" s="3">
        <v>5505.84</v>
      </c>
    </row>
    <row r="331" spans="1:5" x14ac:dyDescent="0.25">
      <c r="A331" s="3" t="s">
        <v>5</v>
      </c>
      <c r="B331" s="3" t="s">
        <v>466</v>
      </c>
      <c r="C331" s="3" t="s">
        <v>131</v>
      </c>
      <c r="D331" s="4">
        <f>HYPERLINK("https://cao.dolgi.msk.ru/account/1060244351/", 1060244351)</f>
        <v>1060244351</v>
      </c>
      <c r="E331" s="3">
        <v>8556.44</v>
      </c>
    </row>
    <row r="332" spans="1:5" x14ac:dyDescent="0.25">
      <c r="A332" s="3" t="s">
        <v>5</v>
      </c>
      <c r="B332" s="3" t="s">
        <v>466</v>
      </c>
      <c r="C332" s="3" t="s">
        <v>132</v>
      </c>
      <c r="D332" s="4">
        <f>HYPERLINK("https://cao.dolgi.msk.ru/account/1060081468/", 1060081468)</f>
        <v>1060081468</v>
      </c>
      <c r="E332" s="3">
        <v>35356.85</v>
      </c>
    </row>
    <row r="333" spans="1:5" x14ac:dyDescent="0.25">
      <c r="A333" s="3" t="s">
        <v>5</v>
      </c>
      <c r="B333" s="3" t="s">
        <v>466</v>
      </c>
      <c r="C333" s="3" t="s">
        <v>141</v>
      </c>
      <c r="D333" s="4">
        <f>HYPERLINK("https://cao.dolgi.msk.ru/account/1060244511/", 1060244511)</f>
        <v>1060244511</v>
      </c>
      <c r="E333" s="3">
        <v>7405.66</v>
      </c>
    </row>
    <row r="334" spans="1:5" x14ac:dyDescent="0.25">
      <c r="A334" s="3" t="s">
        <v>5</v>
      </c>
      <c r="B334" s="3" t="s">
        <v>466</v>
      </c>
      <c r="C334" s="3" t="s">
        <v>143</v>
      </c>
      <c r="D334" s="4">
        <f>HYPERLINK("https://cao.dolgi.msk.ru/account/1060244546/", 1060244546)</f>
        <v>1060244546</v>
      </c>
      <c r="E334" s="3">
        <v>7364.03</v>
      </c>
    </row>
    <row r="335" spans="1:5" x14ac:dyDescent="0.25">
      <c r="A335" s="3" t="s">
        <v>5</v>
      </c>
      <c r="B335" s="3" t="s">
        <v>466</v>
      </c>
      <c r="C335" s="3" t="s">
        <v>14</v>
      </c>
      <c r="D335" s="4">
        <f>HYPERLINK("https://cao.dolgi.msk.ru/account/1060244626/", 1060244626)</f>
        <v>1060244626</v>
      </c>
      <c r="E335" s="3">
        <v>36823.19</v>
      </c>
    </row>
    <row r="336" spans="1:5" x14ac:dyDescent="0.25">
      <c r="A336" s="3" t="s">
        <v>5</v>
      </c>
      <c r="B336" s="3" t="s">
        <v>466</v>
      </c>
      <c r="C336" s="3" t="s">
        <v>23</v>
      </c>
      <c r="D336" s="4">
        <f>HYPERLINK("https://cao.dolgi.msk.ru/account/1060244722/", 1060244722)</f>
        <v>1060244722</v>
      </c>
      <c r="E336" s="3">
        <v>8642.07</v>
      </c>
    </row>
    <row r="337" spans="1:5" x14ac:dyDescent="0.25">
      <c r="A337" s="3" t="s">
        <v>5</v>
      </c>
      <c r="B337" s="3" t="s">
        <v>466</v>
      </c>
      <c r="C337" s="3" t="s">
        <v>29</v>
      </c>
      <c r="D337" s="4">
        <f>HYPERLINK("https://cao.dolgi.msk.ru/account/1060244802/", 1060244802)</f>
        <v>1060244802</v>
      </c>
      <c r="E337" s="3">
        <v>11587.61</v>
      </c>
    </row>
    <row r="338" spans="1:5" x14ac:dyDescent="0.25">
      <c r="A338" s="3" t="s">
        <v>5</v>
      </c>
      <c r="B338" s="3" t="s">
        <v>466</v>
      </c>
      <c r="C338" s="3" t="s">
        <v>50</v>
      </c>
      <c r="D338" s="4">
        <f>HYPERLINK("https://cao.dolgi.msk.ru/account/1060903054/", 1060903054)</f>
        <v>1060903054</v>
      </c>
      <c r="E338" s="3">
        <v>8427.81</v>
      </c>
    </row>
    <row r="339" spans="1:5" x14ac:dyDescent="0.25">
      <c r="A339" s="3" t="s">
        <v>5</v>
      </c>
      <c r="B339" s="3" t="s">
        <v>466</v>
      </c>
      <c r="C339" s="3" t="s">
        <v>64</v>
      </c>
      <c r="D339" s="4">
        <f>HYPERLINK("https://cao.dolgi.msk.ru/account/1060245207/", 1060245207)</f>
        <v>1060245207</v>
      </c>
      <c r="E339" s="3">
        <v>8166.27</v>
      </c>
    </row>
    <row r="340" spans="1:5" x14ac:dyDescent="0.25">
      <c r="A340" s="3" t="s">
        <v>5</v>
      </c>
      <c r="B340" s="3" t="s">
        <v>466</v>
      </c>
      <c r="C340" s="3" t="s">
        <v>81</v>
      </c>
      <c r="D340" s="4">
        <f>HYPERLINK("https://cao.dolgi.msk.ru/account/1060245346/", 1060245346)</f>
        <v>1060245346</v>
      </c>
      <c r="E340" s="3">
        <v>90588.43</v>
      </c>
    </row>
    <row r="341" spans="1:5" x14ac:dyDescent="0.25">
      <c r="A341" s="3" t="s">
        <v>5</v>
      </c>
      <c r="B341" s="3" t="s">
        <v>466</v>
      </c>
      <c r="C341" s="3" t="s">
        <v>82</v>
      </c>
      <c r="D341" s="4">
        <f>HYPERLINK("https://cao.dolgi.msk.ru/account/1060861368/", 1060861368)</f>
        <v>1060861368</v>
      </c>
      <c r="E341" s="3">
        <v>203029.98</v>
      </c>
    </row>
    <row r="342" spans="1:5" x14ac:dyDescent="0.25">
      <c r="A342" s="3" t="s">
        <v>5</v>
      </c>
      <c r="B342" s="3" t="s">
        <v>466</v>
      </c>
      <c r="C342" s="3" t="s">
        <v>85</v>
      </c>
      <c r="D342" s="4">
        <f>HYPERLINK("https://cao.dolgi.msk.ru/account/1060245389/", 1060245389)</f>
        <v>1060245389</v>
      </c>
      <c r="E342" s="3">
        <v>45958.68</v>
      </c>
    </row>
    <row r="343" spans="1:5" x14ac:dyDescent="0.25">
      <c r="A343" s="3" t="s">
        <v>5</v>
      </c>
      <c r="B343" s="3" t="s">
        <v>466</v>
      </c>
      <c r="C343" s="3" t="s">
        <v>104</v>
      </c>
      <c r="D343" s="4">
        <f>HYPERLINK("https://cao.dolgi.msk.ru/account/1060245653/", 1060245653)</f>
        <v>1060245653</v>
      </c>
      <c r="E343" s="3">
        <v>48105.279999999999</v>
      </c>
    </row>
    <row r="344" spans="1:5" x14ac:dyDescent="0.25">
      <c r="A344" s="3" t="s">
        <v>5</v>
      </c>
      <c r="B344" s="3" t="s">
        <v>466</v>
      </c>
      <c r="C344" s="3" t="s">
        <v>106</v>
      </c>
      <c r="D344" s="4">
        <f>HYPERLINK("https://cao.dolgi.msk.ru/account/1060245661/", 1060245661)</f>
        <v>1060245661</v>
      </c>
      <c r="E344" s="3">
        <v>13916.05</v>
      </c>
    </row>
    <row r="345" spans="1:5" x14ac:dyDescent="0.25">
      <c r="A345" s="3" t="s">
        <v>5</v>
      </c>
      <c r="B345" s="3" t="s">
        <v>466</v>
      </c>
      <c r="C345" s="3" t="s">
        <v>152</v>
      </c>
      <c r="D345" s="4">
        <f>HYPERLINK("https://cao.dolgi.msk.ru/account/1060245821/", 1060245821)</f>
        <v>1060245821</v>
      </c>
      <c r="E345" s="3">
        <v>15087.45</v>
      </c>
    </row>
    <row r="346" spans="1:5" x14ac:dyDescent="0.25">
      <c r="A346" s="3" t="s">
        <v>5</v>
      </c>
      <c r="B346" s="3" t="s">
        <v>466</v>
      </c>
      <c r="C346" s="3" t="s">
        <v>162</v>
      </c>
      <c r="D346" s="4">
        <f>HYPERLINK("https://cao.dolgi.msk.ru/account/1060245952/", 1060245952)</f>
        <v>1060245952</v>
      </c>
      <c r="E346" s="3">
        <v>5871.82</v>
      </c>
    </row>
    <row r="347" spans="1:5" x14ac:dyDescent="0.25">
      <c r="A347" s="3" t="s">
        <v>5</v>
      </c>
      <c r="B347" s="3" t="s">
        <v>466</v>
      </c>
      <c r="C347" s="3" t="s">
        <v>171</v>
      </c>
      <c r="D347" s="4">
        <f>HYPERLINK("https://cao.dolgi.msk.ru/account/1060246066/", 1060246066)</f>
        <v>1060246066</v>
      </c>
      <c r="E347" s="3">
        <v>31421.53</v>
      </c>
    </row>
    <row r="348" spans="1:5" x14ac:dyDescent="0.25">
      <c r="A348" s="3" t="s">
        <v>5</v>
      </c>
      <c r="B348" s="3" t="s">
        <v>466</v>
      </c>
      <c r="C348" s="3" t="s">
        <v>210</v>
      </c>
      <c r="D348" s="4">
        <f>HYPERLINK("https://cao.dolgi.msk.ru/account/1060246488/", 1060246488)</f>
        <v>1060246488</v>
      </c>
      <c r="E348" s="3">
        <v>13539.48</v>
      </c>
    </row>
    <row r="349" spans="1:5" x14ac:dyDescent="0.25">
      <c r="A349" s="3" t="s">
        <v>5</v>
      </c>
      <c r="B349" s="3" t="s">
        <v>467</v>
      </c>
      <c r="C349" s="3" t="s">
        <v>131</v>
      </c>
      <c r="D349" s="4">
        <f>HYPERLINK("https://cao.dolgi.msk.ru/account/1060705058/", 1060705058)</f>
        <v>1060705058</v>
      </c>
      <c r="E349" s="3">
        <v>6611.09</v>
      </c>
    </row>
    <row r="350" spans="1:5" x14ac:dyDescent="0.25">
      <c r="A350" s="3" t="s">
        <v>5</v>
      </c>
      <c r="B350" s="3" t="s">
        <v>467</v>
      </c>
      <c r="C350" s="3" t="s">
        <v>141</v>
      </c>
      <c r="D350" s="4">
        <f>HYPERLINK("https://cao.dolgi.msk.ru/account/1060705189/", 1060705189)</f>
        <v>1060705189</v>
      </c>
      <c r="E350" s="3">
        <v>30240.11</v>
      </c>
    </row>
    <row r="351" spans="1:5" x14ac:dyDescent="0.25">
      <c r="A351" s="3" t="s">
        <v>5</v>
      </c>
      <c r="B351" s="3" t="s">
        <v>467</v>
      </c>
      <c r="C351" s="3" t="s">
        <v>17</v>
      </c>
      <c r="D351" s="4">
        <f>HYPERLINK("https://cao.dolgi.msk.ru/account/1060705314/", 1060705314)</f>
        <v>1060705314</v>
      </c>
      <c r="E351" s="3">
        <v>16147.93</v>
      </c>
    </row>
    <row r="352" spans="1:5" x14ac:dyDescent="0.25">
      <c r="A352" s="3" t="s">
        <v>5</v>
      </c>
      <c r="B352" s="3" t="s">
        <v>467</v>
      </c>
      <c r="C352" s="3" t="s">
        <v>18</v>
      </c>
      <c r="D352" s="4">
        <f>HYPERLINK("https://cao.dolgi.msk.ru/account/1060705322/", 1060705322)</f>
        <v>1060705322</v>
      </c>
      <c r="E352" s="3">
        <v>16365.62</v>
      </c>
    </row>
    <row r="353" spans="1:5" x14ac:dyDescent="0.25">
      <c r="A353" s="3" t="s">
        <v>5</v>
      </c>
      <c r="B353" s="3" t="s">
        <v>467</v>
      </c>
      <c r="C353" s="3" t="s">
        <v>19</v>
      </c>
      <c r="D353" s="4">
        <f>HYPERLINK("https://cao.dolgi.msk.ru/account/1060705349/", 1060705349)</f>
        <v>1060705349</v>
      </c>
      <c r="E353" s="3">
        <v>5042.3100000000004</v>
      </c>
    </row>
    <row r="354" spans="1:5" x14ac:dyDescent="0.25">
      <c r="A354" s="3" t="s">
        <v>5</v>
      </c>
      <c r="B354" s="3" t="s">
        <v>467</v>
      </c>
      <c r="C354" s="3" t="s">
        <v>21</v>
      </c>
      <c r="D354" s="4">
        <f>HYPERLINK("https://cao.dolgi.msk.ru/account/1060705365/", 1060705365)</f>
        <v>1060705365</v>
      </c>
      <c r="E354" s="3">
        <v>13251.18</v>
      </c>
    </row>
    <row r="355" spans="1:5" x14ac:dyDescent="0.25">
      <c r="A355" s="3" t="s">
        <v>5</v>
      </c>
      <c r="B355" s="3" t="s">
        <v>467</v>
      </c>
      <c r="C355" s="3" t="s">
        <v>23</v>
      </c>
      <c r="D355" s="4">
        <f>HYPERLINK("https://cao.dolgi.msk.ru/account/1060705381/", 1060705381)</f>
        <v>1060705381</v>
      </c>
      <c r="E355" s="3">
        <v>5696.2</v>
      </c>
    </row>
    <row r="356" spans="1:5" x14ac:dyDescent="0.25">
      <c r="A356" s="3" t="s">
        <v>5</v>
      </c>
      <c r="B356" s="3" t="s">
        <v>467</v>
      </c>
      <c r="C356" s="3" t="s">
        <v>47</v>
      </c>
      <c r="D356" s="4">
        <f>HYPERLINK("https://cao.dolgi.msk.ru/account/1060705664/", 1060705664)</f>
        <v>1060705664</v>
      </c>
      <c r="E356" s="3">
        <v>39947.06</v>
      </c>
    </row>
    <row r="357" spans="1:5" x14ac:dyDescent="0.25">
      <c r="A357" s="3" t="s">
        <v>5</v>
      </c>
      <c r="B357" s="3" t="s">
        <v>468</v>
      </c>
      <c r="C357" s="3" t="s">
        <v>130</v>
      </c>
      <c r="D357" s="4">
        <f>HYPERLINK("https://cao.dolgi.msk.ru/account/1060246648/", 1060246648)</f>
        <v>1060246648</v>
      </c>
      <c r="E357" s="3">
        <v>5624.6</v>
      </c>
    </row>
    <row r="358" spans="1:5" x14ac:dyDescent="0.25">
      <c r="A358" s="3" t="s">
        <v>5</v>
      </c>
      <c r="B358" s="3" t="s">
        <v>468</v>
      </c>
      <c r="C358" s="3" t="s">
        <v>57</v>
      </c>
      <c r="D358" s="4">
        <f>HYPERLINK("https://cao.dolgi.msk.ru/account/1060247405/", 1060247405)</f>
        <v>1060247405</v>
      </c>
      <c r="E358" s="3">
        <v>8544.27</v>
      </c>
    </row>
    <row r="359" spans="1:5" x14ac:dyDescent="0.25">
      <c r="A359" s="3" t="s">
        <v>5</v>
      </c>
      <c r="B359" s="3" t="s">
        <v>468</v>
      </c>
      <c r="C359" s="3" t="s">
        <v>84</v>
      </c>
      <c r="D359" s="4">
        <f>HYPERLINK("https://cao.dolgi.msk.ru/account/1060247675/", 1060247675)</f>
        <v>1060247675</v>
      </c>
      <c r="E359" s="3">
        <v>10809.52</v>
      </c>
    </row>
    <row r="360" spans="1:5" x14ac:dyDescent="0.25">
      <c r="A360" s="3" t="s">
        <v>5</v>
      </c>
      <c r="B360" s="3" t="s">
        <v>468</v>
      </c>
      <c r="C360" s="3" t="s">
        <v>108</v>
      </c>
      <c r="D360" s="4">
        <f>HYPERLINK("https://cao.dolgi.msk.ru/account/1060248002/", 1060248002)</f>
        <v>1060248002</v>
      </c>
      <c r="E360" s="3">
        <v>15227.23</v>
      </c>
    </row>
    <row r="361" spans="1:5" x14ac:dyDescent="0.25">
      <c r="A361" s="3" t="s">
        <v>5</v>
      </c>
      <c r="B361" s="3" t="s">
        <v>469</v>
      </c>
      <c r="C361" s="3" t="s">
        <v>105</v>
      </c>
      <c r="D361" s="4">
        <f>HYPERLINK("https://cao.dolgi.msk.ru/account/1060705912/", 1060705912)</f>
        <v>1060705912</v>
      </c>
      <c r="E361" s="3">
        <v>6956.54</v>
      </c>
    </row>
    <row r="362" spans="1:5" x14ac:dyDescent="0.25">
      <c r="A362" s="3" t="s">
        <v>5</v>
      </c>
      <c r="B362" s="3" t="s">
        <v>469</v>
      </c>
      <c r="C362" s="3" t="s">
        <v>14</v>
      </c>
      <c r="D362" s="4">
        <f>HYPERLINK("https://cao.dolgi.msk.ru/account/1060706157/", 1060706157)</f>
        <v>1060706157</v>
      </c>
      <c r="E362" s="3">
        <v>3769.83</v>
      </c>
    </row>
    <row r="363" spans="1:5" x14ac:dyDescent="0.25">
      <c r="A363" s="3" t="s">
        <v>5</v>
      </c>
      <c r="B363" s="3" t="s">
        <v>469</v>
      </c>
      <c r="C363" s="3" t="s">
        <v>32</v>
      </c>
      <c r="D363" s="4">
        <f>HYPERLINK("https://cao.dolgi.msk.ru/account/1060706325/", 1060706325)</f>
        <v>1060706325</v>
      </c>
      <c r="E363" s="3">
        <v>74234.850000000006</v>
      </c>
    </row>
    <row r="364" spans="1:5" x14ac:dyDescent="0.25">
      <c r="A364" s="3" t="s">
        <v>5</v>
      </c>
      <c r="B364" s="3" t="s">
        <v>469</v>
      </c>
      <c r="C364" s="3" t="s">
        <v>33</v>
      </c>
      <c r="D364" s="4">
        <f>HYPERLINK("https://cao.dolgi.msk.ru/account/1060706333/", 1060706333)</f>
        <v>1060706333</v>
      </c>
      <c r="E364" s="3">
        <v>54392.61</v>
      </c>
    </row>
    <row r="365" spans="1:5" x14ac:dyDescent="0.25">
      <c r="A365" s="3" t="s">
        <v>5</v>
      </c>
      <c r="B365" s="3" t="s">
        <v>469</v>
      </c>
      <c r="C365" s="3" t="s">
        <v>64</v>
      </c>
      <c r="D365" s="4">
        <f>HYPERLINK("https://cao.dolgi.msk.ru/account/1060706691/", 1060706691)</f>
        <v>1060706691</v>
      </c>
      <c r="E365" s="3">
        <v>21028.57</v>
      </c>
    </row>
    <row r="366" spans="1:5" x14ac:dyDescent="0.25">
      <c r="A366" s="3" t="s">
        <v>5</v>
      </c>
      <c r="B366" s="3" t="s">
        <v>469</v>
      </c>
      <c r="C366" s="3" t="s">
        <v>65</v>
      </c>
      <c r="D366" s="4">
        <f>HYPERLINK("https://cao.dolgi.msk.ru/account/1060706704/", 1060706704)</f>
        <v>1060706704</v>
      </c>
      <c r="E366" s="3">
        <v>14329.15</v>
      </c>
    </row>
    <row r="367" spans="1:5" x14ac:dyDescent="0.25">
      <c r="A367" s="3" t="s">
        <v>5</v>
      </c>
      <c r="B367" s="3" t="s">
        <v>469</v>
      </c>
      <c r="C367" s="3" t="s">
        <v>83</v>
      </c>
      <c r="D367" s="4">
        <f>HYPERLINK("https://cao.dolgi.msk.ru/account/1060706851/", 1060706851)</f>
        <v>1060706851</v>
      </c>
      <c r="E367" s="3">
        <v>20480.7</v>
      </c>
    </row>
    <row r="368" spans="1:5" x14ac:dyDescent="0.25">
      <c r="A368" s="3" t="s">
        <v>5</v>
      </c>
      <c r="B368" s="3" t="s">
        <v>469</v>
      </c>
      <c r="C368" s="3" t="s">
        <v>84</v>
      </c>
      <c r="D368" s="4">
        <f>HYPERLINK("https://cao.dolgi.msk.ru/account/1060706878/", 1060706878)</f>
        <v>1060706878</v>
      </c>
      <c r="E368" s="3">
        <v>5220.07</v>
      </c>
    </row>
    <row r="369" spans="1:5" x14ac:dyDescent="0.25">
      <c r="A369" s="3" t="s">
        <v>5</v>
      </c>
      <c r="B369" s="3" t="s">
        <v>469</v>
      </c>
      <c r="C369" s="3" t="s">
        <v>88</v>
      </c>
      <c r="D369" s="4">
        <f>HYPERLINK("https://cao.dolgi.msk.ru/account/1060706915/", 1060706915)</f>
        <v>1060706915</v>
      </c>
      <c r="E369" s="3">
        <v>174100.37</v>
      </c>
    </row>
    <row r="370" spans="1:5" x14ac:dyDescent="0.25">
      <c r="A370" s="3" t="s">
        <v>5</v>
      </c>
      <c r="B370" s="3" t="s">
        <v>469</v>
      </c>
      <c r="C370" s="3" t="s">
        <v>97</v>
      </c>
      <c r="D370" s="4">
        <f>HYPERLINK("https://cao.dolgi.msk.ru/account/1060707037/", 1060707037)</f>
        <v>1060707037</v>
      </c>
      <c r="E370" s="3">
        <v>26083</v>
      </c>
    </row>
    <row r="371" spans="1:5" x14ac:dyDescent="0.25">
      <c r="A371" s="3" t="s">
        <v>5</v>
      </c>
      <c r="B371" s="3" t="s">
        <v>469</v>
      </c>
      <c r="C371" s="3" t="s">
        <v>106</v>
      </c>
      <c r="D371" s="4">
        <f>HYPERLINK("https://cao.dolgi.msk.ru/account/1060707168/", 1060707168)</f>
        <v>1060707168</v>
      </c>
      <c r="E371" s="3">
        <v>3959.5</v>
      </c>
    </row>
    <row r="372" spans="1:5" x14ac:dyDescent="0.25">
      <c r="A372" s="3" t="s">
        <v>5</v>
      </c>
      <c r="B372" s="3" t="s">
        <v>469</v>
      </c>
      <c r="C372" s="3" t="s">
        <v>113</v>
      </c>
      <c r="D372" s="4">
        <f>HYPERLINK("https://cao.dolgi.msk.ru/account/1060707256/", 1060707256)</f>
        <v>1060707256</v>
      </c>
      <c r="E372" s="3">
        <v>10750.43</v>
      </c>
    </row>
    <row r="373" spans="1:5" x14ac:dyDescent="0.25">
      <c r="A373" s="3" t="s">
        <v>5</v>
      </c>
      <c r="B373" s="3" t="s">
        <v>469</v>
      </c>
      <c r="C373" s="3" t="s">
        <v>149</v>
      </c>
      <c r="D373" s="4">
        <f>HYPERLINK("https://cao.dolgi.msk.ru/account/1060707301/", 1060707301)</f>
        <v>1060707301</v>
      </c>
      <c r="E373" s="3">
        <v>19984.14</v>
      </c>
    </row>
    <row r="374" spans="1:5" x14ac:dyDescent="0.25">
      <c r="A374" s="3" t="s">
        <v>5</v>
      </c>
      <c r="B374" s="3" t="s">
        <v>469</v>
      </c>
      <c r="C374" s="3" t="s">
        <v>161</v>
      </c>
      <c r="D374" s="4">
        <f>HYPERLINK("https://cao.dolgi.msk.ru/account/1060707459/", 1060707459)</f>
        <v>1060707459</v>
      </c>
      <c r="E374" s="3">
        <v>184207.93</v>
      </c>
    </row>
    <row r="375" spans="1:5" x14ac:dyDescent="0.25">
      <c r="A375" s="3" t="s">
        <v>5</v>
      </c>
      <c r="B375" s="3" t="s">
        <v>469</v>
      </c>
      <c r="C375" s="3" t="s">
        <v>162</v>
      </c>
      <c r="D375" s="4">
        <f>HYPERLINK("https://cao.dolgi.msk.ru/account/1060707467/", 1060707467)</f>
        <v>1060707467</v>
      </c>
      <c r="E375" s="3">
        <v>159581.96</v>
      </c>
    </row>
    <row r="376" spans="1:5" x14ac:dyDescent="0.25">
      <c r="A376" s="3" t="s">
        <v>5</v>
      </c>
      <c r="B376" s="3" t="s">
        <v>469</v>
      </c>
      <c r="C376" s="3" t="s">
        <v>164</v>
      </c>
      <c r="D376" s="4">
        <f>HYPERLINK("https://cao.dolgi.msk.ru/account/1060707483/", 1060707483)</f>
        <v>1060707483</v>
      </c>
      <c r="E376" s="3">
        <v>16689.97</v>
      </c>
    </row>
    <row r="377" spans="1:5" x14ac:dyDescent="0.25">
      <c r="A377" s="3" t="s">
        <v>5</v>
      </c>
      <c r="B377" s="3" t="s">
        <v>470</v>
      </c>
      <c r="C377" s="3" t="s">
        <v>51</v>
      </c>
      <c r="D377" s="4">
        <f>HYPERLINK("https://cao.dolgi.msk.ru/account/1060248168/", 1060248168)</f>
        <v>1060248168</v>
      </c>
      <c r="E377" s="3">
        <v>5906.61</v>
      </c>
    </row>
    <row r="378" spans="1:5" x14ac:dyDescent="0.25">
      <c r="A378" s="3" t="s">
        <v>5</v>
      </c>
      <c r="B378" s="3" t="s">
        <v>470</v>
      </c>
      <c r="C378" s="3" t="s">
        <v>131</v>
      </c>
      <c r="D378" s="4">
        <f>HYPERLINK("https://cao.dolgi.msk.ru/account/1060248205/", 1060248205)</f>
        <v>1060248205</v>
      </c>
      <c r="E378" s="3">
        <v>7741.11</v>
      </c>
    </row>
    <row r="379" spans="1:5" x14ac:dyDescent="0.25">
      <c r="A379" s="3" t="s">
        <v>5</v>
      </c>
      <c r="B379" s="3" t="s">
        <v>470</v>
      </c>
      <c r="C379" s="3" t="s">
        <v>139</v>
      </c>
      <c r="D379" s="4">
        <f>HYPERLINK("https://cao.dolgi.msk.ru/account/1060248344/", 1060248344)</f>
        <v>1060248344</v>
      </c>
      <c r="E379" s="3">
        <v>38301.089999999997</v>
      </c>
    </row>
    <row r="380" spans="1:5" x14ac:dyDescent="0.25">
      <c r="A380" s="3" t="s">
        <v>5</v>
      </c>
      <c r="B380" s="3" t="s">
        <v>470</v>
      </c>
      <c r="C380" s="3" t="s">
        <v>7</v>
      </c>
      <c r="D380" s="4">
        <f>HYPERLINK("https://cao.dolgi.msk.ru/account/1060248408/", 1060248408)</f>
        <v>1060248408</v>
      </c>
      <c r="E380" s="3">
        <v>3844.11</v>
      </c>
    </row>
    <row r="381" spans="1:5" x14ac:dyDescent="0.25">
      <c r="A381" s="3" t="s">
        <v>5</v>
      </c>
      <c r="B381" s="3" t="s">
        <v>470</v>
      </c>
      <c r="C381" s="3" t="s">
        <v>18</v>
      </c>
      <c r="D381" s="4">
        <f>HYPERLINK("https://cao.dolgi.msk.ru/account/1060248504/", 1060248504)</f>
        <v>1060248504</v>
      </c>
      <c r="E381" s="3">
        <v>97946.49</v>
      </c>
    </row>
    <row r="382" spans="1:5" x14ac:dyDescent="0.25">
      <c r="A382" s="3" t="s">
        <v>5</v>
      </c>
      <c r="B382" s="3" t="s">
        <v>470</v>
      </c>
      <c r="C382" s="3" t="s">
        <v>20</v>
      </c>
      <c r="D382" s="4">
        <f>HYPERLINK("https://cao.dolgi.msk.ru/account/1060248539/", 1060248539)</f>
        <v>1060248539</v>
      </c>
      <c r="E382" s="3">
        <v>326552.34999999998</v>
      </c>
    </row>
    <row r="383" spans="1:5" x14ac:dyDescent="0.25">
      <c r="A383" s="3" t="s">
        <v>5</v>
      </c>
      <c r="B383" s="3" t="s">
        <v>470</v>
      </c>
      <c r="C383" s="3" t="s">
        <v>32</v>
      </c>
      <c r="D383" s="4">
        <f>HYPERLINK("https://cao.dolgi.msk.ru/account/1060248678/", 1060248678)</f>
        <v>1060248678</v>
      </c>
      <c r="E383" s="3">
        <v>24699.94</v>
      </c>
    </row>
    <row r="384" spans="1:5" x14ac:dyDescent="0.25">
      <c r="A384" s="3" t="s">
        <v>5</v>
      </c>
      <c r="B384" s="3" t="s">
        <v>470</v>
      </c>
      <c r="C384" s="3" t="s">
        <v>42</v>
      </c>
      <c r="D384" s="4">
        <f>HYPERLINK("https://cao.dolgi.msk.ru/account/1060248731/", 1060248731)</f>
        <v>1060248731</v>
      </c>
      <c r="E384" s="3">
        <v>5223.38</v>
      </c>
    </row>
    <row r="385" spans="1:5" x14ac:dyDescent="0.25">
      <c r="A385" s="3" t="s">
        <v>5</v>
      </c>
      <c r="B385" s="3" t="s">
        <v>470</v>
      </c>
      <c r="C385" s="3" t="s">
        <v>52</v>
      </c>
      <c r="D385" s="4">
        <f>HYPERLINK("https://cao.dolgi.msk.ru/account/1060248854/", 1060248854)</f>
        <v>1060248854</v>
      </c>
      <c r="E385" s="3">
        <v>28159.78</v>
      </c>
    </row>
    <row r="386" spans="1:5" x14ac:dyDescent="0.25">
      <c r="A386" s="3" t="s">
        <v>5</v>
      </c>
      <c r="B386" s="3" t="s">
        <v>470</v>
      </c>
      <c r="C386" s="3" t="s">
        <v>60</v>
      </c>
      <c r="D386" s="4">
        <f>HYPERLINK("https://cao.dolgi.msk.ru/account/1060248969/", 1060248969)</f>
        <v>1060248969</v>
      </c>
      <c r="E386" s="3">
        <v>10488.42</v>
      </c>
    </row>
    <row r="387" spans="1:5" x14ac:dyDescent="0.25">
      <c r="A387" s="3" t="s">
        <v>5</v>
      </c>
      <c r="B387" s="3" t="s">
        <v>470</v>
      </c>
      <c r="C387" s="3" t="s">
        <v>66</v>
      </c>
      <c r="D387" s="4">
        <f>HYPERLINK("https://cao.dolgi.msk.ru/account/1060249021/", 1060249021)</f>
        <v>1060249021</v>
      </c>
      <c r="E387" s="3">
        <v>14026.52</v>
      </c>
    </row>
    <row r="388" spans="1:5" x14ac:dyDescent="0.25">
      <c r="A388" s="3" t="s">
        <v>5</v>
      </c>
      <c r="B388" s="3" t="s">
        <v>470</v>
      </c>
      <c r="C388" s="3" t="s">
        <v>86</v>
      </c>
      <c r="D388" s="4">
        <f>HYPERLINK("https://cao.dolgi.msk.ru/account/1060249179/", 1060249179)</f>
        <v>1060249179</v>
      </c>
      <c r="E388" s="3">
        <v>14821.2</v>
      </c>
    </row>
    <row r="389" spans="1:5" x14ac:dyDescent="0.25">
      <c r="A389" s="3" t="s">
        <v>5</v>
      </c>
      <c r="B389" s="3" t="s">
        <v>470</v>
      </c>
      <c r="C389" s="3" t="s">
        <v>101</v>
      </c>
      <c r="D389" s="4">
        <f>HYPERLINK("https://cao.dolgi.msk.ru/account/1060249347/", 1060249347)</f>
        <v>1060249347</v>
      </c>
      <c r="E389" s="3">
        <v>12977.22</v>
      </c>
    </row>
    <row r="390" spans="1:5" x14ac:dyDescent="0.25">
      <c r="A390" s="3" t="s">
        <v>5</v>
      </c>
      <c r="B390" s="3" t="s">
        <v>471</v>
      </c>
      <c r="C390" s="3" t="s">
        <v>8</v>
      </c>
      <c r="D390" s="4">
        <f>HYPERLINK("https://cao.dolgi.msk.ru/account/1060707571/", 1060707571)</f>
        <v>1060707571</v>
      </c>
      <c r="E390" s="3">
        <v>10683.58</v>
      </c>
    </row>
    <row r="391" spans="1:5" x14ac:dyDescent="0.25">
      <c r="A391" s="3" t="s">
        <v>5</v>
      </c>
      <c r="B391" s="3" t="s">
        <v>471</v>
      </c>
      <c r="C391" s="3" t="s">
        <v>137</v>
      </c>
      <c r="D391" s="4">
        <f>HYPERLINK("https://cao.dolgi.msk.ru/account/1060707715/", 1060707715)</f>
        <v>1060707715</v>
      </c>
      <c r="E391" s="3">
        <v>6128.71</v>
      </c>
    </row>
    <row r="392" spans="1:5" x14ac:dyDescent="0.25">
      <c r="A392" s="3" t="s">
        <v>5</v>
      </c>
      <c r="B392" s="3" t="s">
        <v>471</v>
      </c>
      <c r="C392" s="3" t="s">
        <v>26</v>
      </c>
      <c r="D392" s="4">
        <f>HYPERLINK("https://cao.dolgi.msk.ru/account/1060707993/", 1060707993)</f>
        <v>1060707993</v>
      </c>
      <c r="E392" s="3">
        <v>45243.54</v>
      </c>
    </row>
    <row r="393" spans="1:5" x14ac:dyDescent="0.25">
      <c r="A393" s="3" t="s">
        <v>5</v>
      </c>
      <c r="B393" s="3" t="s">
        <v>471</v>
      </c>
      <c r="C393" s="3" t="s">
        <v>31</v>
      </c>
      <c r="D393" s="4">
        <f>HYPERLINK("https://cao.dolgi.msk.ru/account/1060708048/", 1060708048)</f>
        <v>1060708048</v>
      </c>
      <c r="E393" s="3">
        <v>22757.06</v>
      </c>
    </row>
    <row r="394" spans="1:5" x14ac:dyDescent="0.25">
      <c r="A394" s="3" t="s">
        <v>5</v>
      </c>
      <c r="B394" s="3" t="s">
        <v>471</v>
      </c>
      <c r="C394" s="3" t="s">
        <v>40</v>
      </c>
      <c r="D394" s="4">
        <f>HYPERLINK("https://cao.dolgi.msk.ru/account/1060708152/", 1060708152)</f>
        <v>1060708152</v>
      </c>
      <c r="E394" s="3">
        <v>45641.51</v>
      </c>
    </row>
    <row r="395" spans="1:5" x14ac:dyDescent="0.25">
      <c r="A395" s="3" t="s">
        <v>5</v>
      </c>
      <c r="B395" s="3" t="s">
        <v>471</v>
      </c>
      <c r="C395" s="3" t="s">
        <v>40</v>
      </c>
      <c r="D395" s="4">
        <f>HYPERLINK("https://cao.dolgi.msk.ru/account/1060868746/", 1060868746)</f>
        <v>1060868746</v>
      </c>
      <c r="E395" s="3">
        <v>84736.41</v>
      </c>
    </row>
    <row r="396" spans="1:5" x14ac:dyDescent="0.25">
      <c r="A396" s="3" t="s">
        <v>5</v>
      </c>
      <c r="B396" s="3" t="s">
        <v>471</v>
      </c>
      <c r="C396" s="3" t="s">
        <v>43</v>
      </c>
      <c r="D396" s="4">
        <f>HYPERLINK("https://cao.dolgi.msk.ru/account/1060708195/", 1060708195)</f>
        <v>1060708195</v>
      </c>
      <c r="E396" s="3">
        <v>337806.52</v>
      </c>
    </row>
    <row r="397" spans="1:5" x14ac:dyDescent="0.25">
      <c r="A397" s="3" t="s">
        <v>5</v>
      </c>
      <c r="B397" s="3" t="s">
        <v>471</v>
      </c>
      <c r="C397" s="3" t="s">
        <v>54</v>
      </c>
      <c r="D397" s="4">
        <f>HYPERLINK("https://cao.dolgi.msk.ru/account/1060708304/", 1060708304)</f>
        <v>1060708304</v>
      </c>
      <c r="E397" s="3">
        <v>6531.41</v>
      </c>
    </row>
    <row r="398" spans="1:5" x14ac:dyDescent="0.25">
      <c r="A398" s="3" t="s">
        <v>5</v>
      </c>
      <c r="B398" s="3" t="s">
        <v>471</v>
      </c>
      <c r="C398" s="3" t="s">
        <v>61</v>
      </c>
      <c r="D398" s="4">
        <f>HYPERLINK("https://cao.dolgi.msk.ru/account/1060708398/", 1060708398)</f>
        <v>1060708398</v>
      </c>
      <c r="E398" s="3">
        <v>10879.24</v>
      </c>
    </row>
    <row r="399" spans="1:5" x14ac:dyDescent="0.25">
      <c r="A399" s="3" t="s">
        <v>5</v>
      </c>
      <c r="B399" s="3" t="s">
        <v>472</v>
      </c>
      <c r="C399" s="3" t="s">
        <v>7</v>
      </c>
      <c r="D399" s="4">
        <f>HYPERLINK("https://cao.dolgi.msk.ru/account/1060094023/", 1060094023)</f>
        <v>1060094023</v>
      </c>
      <c r="E399" s="3">
        <v>47522.63</v>
      </c>
    </row>
    <row r="400" spans="1:5" x14ac:dyDescent="0.25">
      <c r="A400" s="3" t="s">
        <v>5</v>
      </c>
      <c r="B400" s="3" t="s">
        <v>472</v>
      </c>
      <c r="C400" s="3" t="s">
        <v>10</v>
      </c>
      <c r="D400" s="4">
        <f>HYPERLINK("https://cao.dolgi.msk.ru/account/1060094031/", 1060094031)</f>
        <v>1060094031</v>
      </c>
      <c r="E400" s="3">
        <v>4089.72</v>
      </c>
    </row>
    <row r="401" spans="1:5" x14ac:dyDescent="0.25">
      <c r="A401" s="3" t="s">
        <v>5</v>
      </c>
      <c r="B401" s="3" t="s">
        <v>472</v>
      </c>
      <c r="C401" s="3" t="s">
        <v>18</v>
      </c>
      <c r="D401" s="4">
        <f>HYPERLINK("https://cao.dolgi.msk.ru/account/1060094138/", 1060094138)</f>
        <v>1060094138</v>
      </c>
      <c r="E401" s="3">
        <v>11925.93</v>
      </c>
    </row>
    <row r="402" spans="1:5" x14ac:dyDescent="0.25">
      <c r="A402" s="3" t="s">
        <v>5</v>
      </c>
      <c r="B402" s="3" t="s">
        <v>472</v>
      </c>
      <c r="C402" s="3" t="s">
        <v>41</v>
      </c>
      <c r="D402" s="4">
        <f>HYPERLINK("https://cao.dolgi.msk.ru/account/1060094429/", 1060094429)</f>
        <v>1060094429</v>
      </c>
      <c r="E402" s="3">
        <v>7490.34</v>
      </c>
    </row>
    <row r="403" spans="1:5" x14ac:dyDescent="0.25">
      <c r="A403" s="3" t="s">
        <v>5</v>
      </c>
      <c r="B403" s="3" t="s">
        <v>472</v>
      </c>
      <c r="C403" s="3" t="s">
        <v>52</v>
      </c>
      <c r="D403" s="4">
        <f>HYPERLINK("https://cao.dolgi.msk.ru/account/1060094533/", 1060094533)</f>
        <v>1060094533</v>
      </c>
      <c r="E403" s="3">
        <v>8231.26</v>
      </c>
    </row>
    <row r="404" spans="1:5" x14ac:dyDescent="0.25">
      <c r="A404" s="3" t="s">
        <v>5</v>
      </c>
      <c r="B404" s="3" t="s">
        <v>472</v>
      </c>
      <c r="C404" s="3" t="s">
        <v>56</v>
      </c>
      <c r="D404" s="4">
        <f>HYPERLINK("https://cao.dolgi.msk.ru/account/1060094584/", 1060094584)</f>
        <v>1060094584</v>
      </c>
      <c r="E404" s="3">
        <v>18605.77</v>
      </c>
    </row>
    <row r="405" spans="1:5" x14ac:dyDescent="0.25">
      <c r="A405" s="3" t="s">
        <v>5</v>
      </c>
      <c r="B405" s="3" t="s">
        <v>472</v>
      </c>
      <c r="C405" s="3" t="s">
        <v>60</v>
      </c>
      <c r="D405" s="4">
        <f>HYPERLINK("https://cao.dolgi.msk.ru/account/1060094621/", 1060094621)</f>
        <v>1060094621</v>
      </c>
      <c r="E405" s="3">
        <v>2732.29</v>
      </c>
    </row>
    <row r="406" spans="1:5" x14ac:dyDescent="0.25">
      <c r="A406" s="3" t="s">
        <v>5</v>
      </c>
      <c r="B406" s="3" t="s">
        <v>473</v>
      </c>
      <c r="C406" s="3" t="s">
        <v>51</v>
      </c>
      <c r="D406" s="4">
        <f>HYPERLINK("https://cao.dolgi.msk.ru/account/1069135362/", 1069135362)</f>
        <v>1069135362</v>
      </c>
      <c r="E406" s="3">
        <v>10174.81</v>
      </c>
    </row>
    <row r="407" spans="1:5" x14ac:dyDescent="0.25">
      <c r="A407" s="3" t="s">
        <v>5</v>
      </c>
      <c r="B407" s="3" t="s">
        <v>473</v>
      </c>
      <c r="C407" s="3" t="s">
        <v>10</v>
      </c>
      <c r="D407" s="4">
        <f>HYPERLINK("https://cao.dolgi.msk.ru/account/1069135661/", 1069135661)</f>
        <v>1069135661</v>
      </c>
      <c r="E407" s="3">
        <v>36720.78</v>
      </c>
    </row>
    <row r="408" spans="1:5" x14ac:dyDescent="0.25">
      <c r="A408" s="3" t="s">
        <v>5</v>
      </c>
      <c r="B408" s="3" t="s">
        <v>473</v>
      </c>
      <c r="C408" s="3" t="s">
        <v>19</v>
      </c>
      <c r="D408" s="4">
        <f>HYPERLINK("https://cao.dolgi.msk.ru/account/1069135776/", 1069135776)</f>
        <v>1069135776</v>
      </c>
      <c r="E408" s="3">
        <v>51157.59</v>
      </c>
    </row>
    <row r="409" spans="1:5" x14ac:dyDescent="0.25">
      <c r="A409" s="3" t="s">
        <v>5</v>
      </c>
      <c r="B409" s="3" t="s">
        <v>473</v>
      </c>
      <c r="C409" s="3" t="s">
        <v>25</v>
      </c>
      <c r="D409" s="4">
        <f>HYPERLINK("https://cao.dolgi.msk.ru/account/1069135848/", 1069135848)</f>
        <v>1069135848</v>
      </c>
      <c r="E409" s="3">
        <v>5592.12</v>
      </c>
    </row>
    <row r="410" spans="1:5" x14ac:dyDescent="0.25">
      <c r="A410" s="3" t="s">
        <v>5</v>
      </c>
      <c r="B410" s="3" t="s">
        <v>473</v>
      </c>
      <c r="C410" s="3" t="s">
        <v>27</v>
      </c>
      <c r="D410" s="4">
        <f>HYPERLINK("https://cao.dolgi.msk.ru/account/1069135864/", 1069135864)</f>
        <v>1069135864</v>
      </c>
      <c r="E410" s="3">
        <v>228739.34</v>
      </c>
    </row>
    <row r="411" spans="1:5" x14ac:dyDescent="0.25">
      <c r="A411" s="3" t="s">
        <v>5</v>
      </c>
      <c r="B411" s="3" t="s">
        <v>473</v>
      </c>
      <c r="C411" s="3" t="s">
        <v>59</v>
      </c>
      <c r="D411" s="4">
        <f>HYPERLINK("https://cao.dolgi.msk.ru/account/1069136242/", 1069136242)</f>
        <v>1069136242</v>
      </c>
      <c r="E411" s="3">
        <v>5533.16</v>
      </c>
    </row>
    <row r="412" spans="1:5" x14ac:dyDescent="0.25">
      <c r="A412" s="3" t="s">
        <v>5</v>
      </c>
      <c r="B412" s="3" t="s">
        <v>474</v>
      </c>
      <c r="C412" s="3" t="s">
        <v>12</v>
      </c>
      <c r="D412" s="4">
        <f>HYPERLINK("https://cao.dolgi.msk.ru/account/1060249662/", 1060249662)</f>
        <v>1060249662</v>
      </c>
      <c r="E412" s="3">
        <v>3586.49</v>
      </c>
    </row>
    <row r="413" spans="1:5" x14ac:dyDescent="0.25">
      <c r="A413" s="3" t="s">
        <v>5</v>
      </c>
      <c r="B413" s="3" t="s">
        <v>474</v>
      </c>
      <c r="C413" s="3" t="s">
        <v>17</v>
      </c>
      <c r="D413" s="4">
        <f>HYPERLINK("https://cao.dolgi.msk.ru/account/1060249734/", 1060249734)</f>
        <v>1060249734</v>
      </c>
      <c r="E413" s="3">
        <v>130931.68</v>
      </c>
    </row>
    <row r="414" spans="1:5" x14ac:dyDescent="0.25">
      <c r="A414" s="3" t="s">
        <v>5</v>
      </c>
      <c r="B414" s="3" t="s">
        <v>474</v>
      </c>
      <c r="C414" s="3" t="s">
        <v>21</v>
      </c>
      <c r="D414" s="4">
        <f>HYPERLINK("https://cao.dolgi.msk.ru/account/1060249785/", 1060249785)</f>
        <v>1060249785</v>
      </c>
      <c r="E414" s="3">
        <v>13609.71</v>
      </c>
    </row>
    <row r="415" spans="1:5" x14ac:dyDescent="0.25">
      <c r="A415" s="3" t="s">
        <v>5</v>
      </c>
      <c r="B415" s="3" t="s">
        <v>474</v>
      </c>
      <c r="C415" s="3" t="s">
        <v>25</v>
      </c>
      <c r="D415" s="4">
        <f>HYPERLINK("https://cao.dolgi.msk.ru/account/1060249822/", 1060249822)</f>
        <v>1060249822</v>
      </c>
      <c r="E415" s="3">
        <v>13631.27</v>
      </c>
    </row>
    <row r="416" spans="1:5" x14ac:dyDescent="0.25">
      <c r="A416" s="3" t="s">
        <v>5</v>
      </c>
      <c r="B416" s="3" t="s">
        <v>474</v>
      </c>
      <c r="C416" s="3" t="s">
        <v>33</v>
      </c>
      <c r="D416" s="4">
        <f>HYPERLINK("https://cao.dolgi.msk.ru/account/1060249929/", 1060249929)</f>
        <v>1060249929</v>
      </c>
      <c r="E416" s="3">
        <v>92435.29</v>
      </c>
    </row>
    <row r="417" spans="1:5" x14ac:dyDescent="0.25">
      <c r="A417" s="3" t="s">
        <v>5</v>
      </c>
      <c r="B417" s="3" t="s">
        <v>474</v>
      </c>
      <c r="C417" s="3" t="s">
        <v>35</v>
      </c>
      <c r="D417" s="4">
        <f>HYPERLINK("https://cao.dolgi.msk.ru/account/1060249945/", 1060249945)</f>
        <v>1060249945</v>
      </c>
      <c r="E417" s="3">
        <v>9039.68</v>
      </c>
    </row>
    <row r="418" spans="1:5" x14ac:dyDescent="0.25">
      <c r="A418" s="3" t="s">
        <v>5</v>
      </c>
      <c r="B418" s="3" t="s">
        <v>474</v>
      </c>
      <c r="C418" s="3" t="s">
        <v>35</v>
      </c>
      <c r="D418" s="4">
        <f>HYPERLINK("https://cao.dolgi.msk.ru/account/1060818538/", 1060818538)</f>
        <v>1060818538</v>
      </c>
      <c r="E418" s="3">
        <v>6826.33</v>
      </c>
    </row>
    <row r="419" spans="1:5" x14ac:dyDescent="0.25">
      <c r="A419" s="3" t="s">
        <v>5</v>
      </c>
      <c r="B419" s="3" t="s">
        <v>474</v>
      </c>
      <c r="C419" s="3" t="s">
        <v>47</v>
      </c>
      <c r="D419" s="4">
        <f>HYPERLINK("https://cao.dolgi.msk.ru/account/1060250081/", 1060250081)</f>
        <v>1060250081</v>
      </c>
      <c r="E419" s="3">
        <v>18323.75</v>
      </c>
    </row>
    <row r="420" spans="1:5" x14ac:dyDescent="0.25">
      <c r="A420" s="3" t="s">
        <v>5</v>
      </c>
      <c r="B420" s="3" t="s">
        <v>474</v>
      </c>
      <c r="C420" s="3" t="s">
        <v>49</v>
      </c>
      <c r="D420" s="4">
        <f>HYPERLINK("https://cao.dolgi.msk.ru/account/1060250129/", 1060250129)</f>
        <v>1060250129</v>
      </c>
      <c r="E420" s="3">
        <v>4569.96</v>
      </c>
    </row>
    <row r="421" spans="1:5" x14ac:dyDescent="0.25">
      <c r="A421" s="3" t="s">
        <v>5</v>
      </c>
      <c r="B421" s="3" t="s">
        <v>474</v>
      </c>
      <c r="C421" s="3" t="s">
        <v>62</v>
      </c>
      <c r="D421" s="4">
        <f>HYPERLINK("https://cao.dolgi.msk.ru/account/1060250268/", 1060250268)</f>
        <v>1060250268</v>
      </c>
      <c r="E421" s="3">
        <v>266763.3</v>
      </c>
    </row>
    <row r="422" spans="1:5" x14ac:dyDescent="0.25">
      <c r="A422" s="3" t="s">
        <v>5</v>
      </c>
      <c r="B422" s="3" t="s">
        <v>474</v>
      </c>
      <c r="C422" s="3" t="s">
        <v>91</v>
      </c>
      <c r="D422" s="4">
        <f>HYPERLINK("https://cao.dolgi.msk.ru/account/1060250559/", 1060250559)</f>
        <v>1060250559</v>
      </c>
      <c r="E422" s="3">
        <v>92702.03</v>
      </c>
    </row>
    <row r="423" spans="1:5" x14ac:dyDescent="0.25">
      <c r="A423" s="3" t="s">
        <v>5</v>
      </c>
      <c r="B423" s="3" t="s">
        <v>474</v>
      </c>
      <c r="C423" s="3" t="s">
        <v>99</v>
      </c>
      <c r="D423" s="4">
        <f>HYPERLINK("https://cao.dolgi.msk.ru/account/1060250647/", 1060250647)</f>
        <v>1060250647</v>
      </c>
      <c r="E423" s="3">
        <v>9174.66</v>
      </c>
    </row>
    <row r="424" spans="1:5" x14ac:dyDescent="0.25">
      <c r="A424" s="3" t="s">
        <v>5</v>
      </c>
      <c r="B424" s="3" t="s">
        <v>475</v>
      </c>
      <c r="C424" s="3" t="s">
        <v>8</v>
      </c>
      <c r="D424" s="4">
        <f>HYPERLINK("https://cao.dolgi.msk.ru/account/1060250858/", 1060250858)</f>
        <v>1060250858</v>
      </c>
      <c r="E424" s="3">
        <v>222818.39</v>
      </c>
    </row>
    <row r="425" spans="1:5" x14ac:dyDescent="0.25">
      <c r="A425" s="3" t="s">
        <v>5</v>
      </c>
      <c r="B425" s="3" t="s">
        <v>475</v>
      </c>
      <c r="C425" s="3" t="s">
        <v>8</v>
      </c>
      <c r="D425" s="4">
        <f>HYPERLINK("https://cao.dolgi.msk.ru/account/1069111053/", 1069111053)</f>
        <v>1069111053</v>
      </c>
      <c r="E425" s="3">
        <v>57378.79</v>
      </c>
    </row>
    <row r="426" spans="1:5" x14ac:dyDescent="0.25">
      <c r="A426" s="3" t="s">
        <v>5</v>
      </c>
      <c r="B426" s="3" t="s">
        <v>475</v>
      </c>
      <c r="C426" s="3" t="s">
        <v>135</v>
      </c>
      <c r="D426" s="4">
        <f>HYPERLINK("https://cao.dolgi.msk.ru/account/1060250989/", 1060250989)</f>
        <v>1060250989</v>
      </c>
      <c r="E426" s="3">
        <v>40952.79</v>
      </c>
    </row>
    <row r="427" spans="1:5" x14ac:dyDescent="0.25">
      <c r="A427" s="3" t="s">
        <v>5</v>
      </c>
      <c r="B427" s="3" t="s">
        <v>475</v>
      </c>
      <c r="C427" s="3" t="s">
        <v>140</v>
      </c>
      <c r="D427" s="4">
        <f>HYPERLINK("https://cao.dolgi.msk.ru/account/1060251033/", 1060251033)</f>
        <v>1060251033</v>
      </c>
      <c r="E427" s="3">
        <v>18988.919999999998</v>
      </c>
    </row>
    <row r="428" spans="1:5" x14ac:dyDescent="0.25">
      <c r="A428" s="3" t="s">
        <v>5</v>
      </c>
      <c r="B428" s="3" t="s">
        <v>475</v>
      </c>
      <c r="C428" s="3" t="s">
        <v>7</v>
      </c>
      <c r="D428" s="4">
        <f>HYPERLINK("https://cao.dolgi.msk.ru/account/1060251084/", 1060251084)</f>
        <v>1060251084</v>
      </c>
      <c r="E428" s="3">
        <v>3373.69</v>
      </c>
    </row>
    <row r="429" spans="1:5" x14ac:dyDescent="0.25">
      <c r="A429" s="3" t="s">
        <v>5</v>
      </c>
      <c r="B429" s="3" t="s">
        <v>475</v>
      </c>
      <c r="C429" s="3" t="s">
        <v>11</v>
      </c>
      <c r="D429" s="4">
        <f>HYPERLINK("https://cao.dolgi.msk.ru/account/1060251105/", 1060251105)</f>
        <v>1060251105</v>
      </c>
      <c r="E429" s="3">
        <v>3261.68</v>
      </c>
    </row>
    <row r="430" spans="1:5" x14ac:dyDescent="0.25">
      <c r="A430" s="3" t="s">
        <v>5</v>
      </c>
      <c r="B430" s="3" t="s">
        <v>475</v>
      </c>
      <c r="C430" s="3" t="s">
        <v>13</v>
      </c>
      <c r="D430" s="4">
        <f>HYPERLINK("https://cao.dolgi.msk.ru/account/1060251121/", 1060251121)</f>
        <v>1060251121</v>
      </c>
      <c r="E430" s="3">
        <v>26151.56</v>
      </c>
    </row>
    <row r="431" spans="1:5" x14ac:dyDescent="0.25">
      <c r="A431" s="3" t="s">
        <v>5</v>
      </c>
      <c r="B431" s="3" t="s">
        <v>475</v>
      </c>
      <c r="C431" s="3" t="s">
        <v>26</v>
      </c>
      <c r="D431" s="4">
        <f>HYPERLINK("https://cao.dolgi.msk.ru/account/1060251295/", 1060251295)</f>
        <v>1060251295</v>
      </c>
      <c r="E431" s="3">
        <v>66535.210000000006</v>
      </c>
    </row>
    <row r="432" spans="1:5" x14ac:dyDescent="0.25">
      <c r="A432" s="3" t="s">
        <v>5</v>
      </c>
      <c r="B432" s="3" t="s">
        <v>475</v>
      </c>
      <c r="C432" s="3" t="s">
        <v>31</v>
      </c>
      <c r="D432" s="4">
        <f>HYPERLINK("https://cao.dolgi.msk.ru/account/1060251332/", 1060251332)</f>
        <v>1060251332</v>
      </c>
      <c r="E432" s="3">
        <v>14301.01</v>
      </c>
    </row>
    <row r="433" spans="1:5" x14ac:dyDescent="0.25">
      <c r="A433" s="3" t="s">
        <v>5</v>
      </c>
      <c r="B433" s="3" t="s">
        <v>475</v>
      </c>
      <c r="C433" s="3" t="s">
        <v>36</v>
      </c>
      <c r="D433" s="4">
        <f>HYPERLINK("https://cao.dolgi.msk.ru/account/1060251391/", 1060251391)</f>
        <v>1060251391</v>
      </c>
      <c r="E433" s="3">
        <v>399274.47</v>
      </c>
    </row>
    <row r="434" spans="1:5" x14ac:dyDescent="0.25">
      <c r="A434" s="3" t="s">
        <v>5</v>
      </c>
      <c r="B434" s="3" t="s">
        <v>475</v>
      </c>
      <c r="C434" s="3" t="s">
        <v>37</v>
      </c>
      <c r="D434" s="4">
        <f>HYPERLINK("https://cao.dolgi.msk.ru/account/1060251404/", 1060251404)</f>
        <v>1060251404</v>
      </c>
      <c r="E434" s="3">
        <v>6423.76</v>
      </c>
    </row>
    <row r="435" spans="1:5" x14ac:dyDescent="0.25">
      <c r="A435" s="3" t="s">
        <v>5</v>
      </c>
      <c r="B435" s="3" t="s">
        <v>475</v>
      </c>
      <c r="C435" s="3" t="s">
        <v>44</v>
      </c>
      <c r="D435" s="4">
        <f>HYPERLINK("https://cao.dolgi.msk.ru/account/1060251498/", 1060251498)</f>
        <v>1060251498</v>
      </c>
      <c r="E435" s="3">
        <v>10161.709999999999</v>
      </c>
    </row>
    <row r="436" spans="1:5" x14ac:dyDescent="0.25">
      <c r="A436" s="3" t="s">
        <v>5</v>
      </c>
      <c r="B436" s="3" t="s">
        <v>475</v>
      </c>
      <c r="C436" s="3" t="s">
        <v>45</v>
      </c>
      <c r="D436" s="4">
        <f>HYPERLINK("https://cao.dolgi.msk.ru/account/1060251519/", 1060251519)</f>
        <v>1060251519</v>
      </c>
      <c r="E436" s="3">
        <v>21298.76</v>
      </c>
    </row>
    <row r="437" spans="1:5" x14ac:dyDescent="0.25">
      <c r="A437" s="3" t="s">
        <v>5</v>
      </c>
      <c r="B437" s="3" t="s">
        <v>476</v>
      </c>
      <c r="C437" s="3" t="s">
        <v>132</v>
      </c>
      <c r="D437" s="4">
        <f>HYPERLINK("https://cao.dolgi.msk.ru/account/1060251762/", 1060251762)</f>
        <v>1060251762</v>
      </c>
      <c r="E437" s="3">
        <v>9505.5300000000007</v>
      </c>
    </row>
    <row r="438" spans="1:5" x14ac:dyDescent="0.25">
      <c r="A438" s="3" t="s">
        <v>5</v>
      </c>
      <c r="B438" s="3" t="s">
        <v>476</v>
      </c>
      <c r="C438" s="3" t="s">
        <v>137</v>
      </c>
      <c r="D438" s="4">
        <f>HYPERLINK("https://cao.dolgi.msk.ru/account/1060251834/", 1060251834)</f>
        <v>1060251834</v>
      </c>
      <c r="E438" s="3">
        <v>5170.43</v>
      </c>
    </row>
    <row r="439" spans="1:5" x14ac:dyDescent="0.25">
      <c r="A439" s="3" t="s">
        <v>5</v>
      </c>
      <c r="B439" s="3" t="s">
        <v>476</v>
      </c>
      <c r="C439" s="3" t="s">
        <v>10</v>
      </c>
      <c r="D439" s="4">
        <f>HYPERLINK("https://cao.dolgi.msk.ru/account/1060251922/", 1060251922)</f>
        <v>1060251922</v>
      </c>
      <c r="E439" s="3">
        <v>6041.39</v>
      </c>
    </row>
    <row r="440" spans="1:5" x14ac:dyDescent="0.25">
      <c r="A440" s="3" t="s">
        <v>5</v>
      </c>
      <c r="B440" s="3" t="s">
        <v>476</v>
      </c>
      <c r="C440" s="3" t="s">
        <v>11</v>
      </c>
      <c r="D440" s="4">
        <f>HYPERLINK("https://cao.dolgi.msk.ru/account/1060251949/", 1060251949)</f>
        <v>1060251949</v>
      </c>
      <c r="E440" s="3">
        <v>6584.49</v>
      </c>
    </row>
    <row r="441" spans="1:5" x14ac:dyDescent="0.25">
      <c r="A441" s="3" t="s">
        <v>5</v>
      </c>
      <c r="B441" s="3" t="s">
        <v>476</v>
      </c>
      <c r="C441" s="3" t="s">
        <v>21</v>
      </c>
      <c r="D441" s="4">
        <f>HYPERLINK("https://cao.dolgi.msk.ru/account/1060252079/", 1060252079)</f>
        <v>1060252079</v>
      </c>
      <c r="E441" s="3">
        <v>88027.79</v>
      </c>
    </row>
    <row r="442" spans="1:5" x14ac:dyDescent="0.25">
      <c r="A442" s="3" t="s">
        <v>5</v>
      </c>
      <c r="B442" s="3" t="s">
        <v>476</v>
      </c>
      <c r="C442" s="3" t="s">
        <v>25</v>
      </c>
      <c r="D442" s="4">
        <f>HYPERLINK("https://cao.dolgi.msk.ru/account/1060252116/", 1060252116)</f>
        <v>1060252116</v>
      </c>
      <c r="E442" s="3">
        <v>7074.7</v>
      </c>
    </row>
    <row r="443" spans="1:5" x14ac:dyDescent="0.25">
      <c r="A443" s="3" t="s">
        <v>5</v>
      </c>
      <c r="B443" s="3" t="s">
        <v>476</v>
      </c>
      <c r="C443" s="3" t="s">
        <v>33</v>
      </c>
      <c r="D443" s="4">
        <f>HYPERLINK("https://cao.dolgi.msk.ru/account/1060252191/", 1060252191)</f>
        <v>1060252191</v>
      </c>
      <c r="E443" s="3">
        <v>6082.79</v>
      </c>
    </row>
    <row r="444" spans="1:5" x14ac:dyDescent="0.25">
      <c r="A444" s="3" t="s">
        <v>5</v>
      </c>
      <c r="B444" s="3" t="s">
        <v>476</v>
      </c>
      <c r="C444" s="3" t="s">
        <v>41</v>
      </c>
      <c r="D444" s="4">
        <f>HYPERLINK("https://cao.dolgi.msk.ru/account/1060252298/", 1060252298)</f>
        <v>1060252298</v>
      </c>
      <c r="E444" s="3">
        <v>26352.47</v>
      </c>
    </row>
    <row r="445" spans="1:5" x14ac:dyDescent="0.25">
      <c r="A445" s="3" t="s">
        <v>5</v>
      </c>
      <c r="B445" s="3" t="s">
        <v>476</v>
      </c>
      <c r="C445" s="3" t="s">
        <v>45</v>
      </c>
      <c r="D445" s="4">
        <f>HYPERLINK("https://cao.dolgi.msk.ru/account/1060252343/", 1060252343)</f>
        <v>1060252343</v>
      </c>
      <c r="E445" s="3">
        <v>3158.07</v>
      </c>
    </row>
    <row r="446" spans="1:5" x14ac:dyDescent="0.25">
      <c r="A446" s="3" t="s">
        <v>5</v>
      </c>
      <c r="B446" s="3" t="s">
        <v>476</v>
      </c>
      <c r="C446" s="3" t="s">
        <v>59</v>
      </c>
      <c r="D446" s="4">
        <f>HYPERLINK("https://cao.dolgi.msk.ru/account/1060252503/", 1060252503)</f>
        <v>1060252503</v>
      </c>
      <c r="E446" s="3">
        <v>6326.59</v>
      </c>
    </row>
    <row r="447" spans="1:5" x14ac:dyDescent="0.25">
      <c r="A447" s="3" t="s">
        <v>5</v>
      </c>
      <c r="B447" s="3" t="s">
        <v>477</v>
      </c>
      <c r="C447" s="3" t="s">
        <v>51</v>
      </c>
      <c r="D447" s="4">
        <f>HYPERLINK("https://cao.dolgi.msk.ru/account/1060252546/", 1060252546)</f>
        <v>1060252546</v>
      </c>
      <c r="E447" s="3">
        <v>104666.88</v>
      </c>
    </row>
    <row r="448" spans="1:5" x14ac:dyDescent="0.25">
      <c r="A448" s="3" t="s">
        <v>5</v>
      </c>
      <c r="B448" s="3" t="s">
        <v>477</v>
      </c>
      <c r="C448" s="3" t="s">
        <v>138</v>
      </c>
      <c r="D448" s="4">
        <f>HYPERLINK("https://cao.dolgi.msk.ru/account/1060252714/", 1060252714)</f>
        <v>1060252714</v>
      </c>
      <c r="E448" s="3">
        <v>9608.7900000000009</v>
      </c>
    </row>
    <row r="449" spans="1:5" x14ac:dyDescent="0.25">
      <c r="A449" s="3" t="s">
        <v>5</v>
      </c>
      <c r="B449" s="3" t="s">
        <v>477</v>
      </c>
      <c r="C449" s="3" t="s">
        <v>139</v>
      </c>
      <c r="D449" s="4">
        <f>HYPERLINK("https://cao.dolgi.msk.ru/account/1060252722/", 1060252722)</f>
        <v>1060252722</v>
      </c>
      <c r="E449" s="3">
        <v>11265.45</v>
      </c>
    </row>
    <row r="450" spans="1:5" x14ac:dyDescent="0.25">
      <c r="A450" s="3" t="s">
        <v>5</v>
      </c>
      <c r="B450" s="3" t="s">
        <v>477</v>
      </c>
      <c r="C450" s="3" t="s">
        <v>32</v>
      </c>
      <c r="D450" s="4">
        <f>HYPERLINK("https://cao.dolgi.msk.ru/account/1060253055/", 1060253055)</f>
        <v>1060253055</v>
      </c>
      <c r="E450" s="3">
        <v>4749</v>
      </c>
    </row>
    <row r="451" spans="1:5" x14ac:dyDescent="0.25">
      <c r="A451" s="3" t="s">
        <v>5</v>
      </c>
      <c r="B451" s="3" t="s">
        <v>477</v>
      </c>
      <c r="C451" s="3" t="s">
        <v>43</v>
      </c>
      <c r="D451" s="4">
        <f>HYPERLINK("https://cao.dolgi.msk.ru/account/1060253194/", 1060253194)</f>
        <v>1060253194</v>
      </c>
      <c r="E451" s="3">
        <v>11453.91</v>
      </c>
    </row>
    <row r="452" spans="1:5" x14ac:dyDescent="0.25">
      <c r="A452" s="3" t="s">
        <v>5</v>
      </c>
      <c r="B452" s="3" t="s">
        <v>477</v>
      </c>
      <c r="C452" s="3" t="s">
        <v>46</v>
      </c>
      <c r="D452" s="4">
        <f>HYPERLINK("https://cao.dolgi.msk.ru/account/1060253223/", 1060253223)</f>
        <v>1060253223</v>
      </c>
      <c r="E452" s="3">
        <v>299700.46000000002</v>
      </c>
    </row>
    <row r="453" spans="1:5" x14ac:dyDescent="0.25">
      <c r="A453" s="3" t="s">
        <v>5</v>
      </c>
      <c r="B453" s="3" t="s">
        <v>478</v>
      </c>
      <c r="C453" s="3" t="s">
        <v>131</v>
      </c>
      <c r="D453" s="4">
        <f>HYPERLINK("https://cao.dolgi.msk.ru/account/1060431835/", 1060431835)</f>
        <v>1060431835</v>
      </c>
      <c r="E453" s="3">
        <v>5593.21</v>
      </c>
    </row>
    <row r="454" spans="1:5" x14ac:dyDescent="0.25">
      <c r="A454" s="3" t="s">
        <v>5</v>
      </c>
      <c r="B454" s="3" t="s">
        <v>478</v>
      </c>
      <c r="C454" s="3" t="s">
        <v>32</v>
      </c>
      <c r="D454" s="4">
        <f>HYPERLINK("https://cao.dolgi.msk.ru/account/1060432299/", 1060432299)</f>
        <v>1060432299</v>
      </c>
      <c r="E454" s="3">
        <v>18932.830000000002</v>
      </c>
    </row>
    <row r="455" spans="1:5" x14ac:dyDescent="0.25">
      <c r="A455" s="3" t="s">
        <v>5</v>
      </c>
      <c r="B455" s="3" t="s">
        <v>478</v>
      </c>
      <c r="C455" s="3" t="s">
        <v>34</v>
      </c>
      <c r="D455" s="4">
        <f>HYPERLINK("https://cao.dolgi.msk.ru/account/1060432328/", 1060432328)</f>
        <v>1060432328</v>
      </c>
      <c r="E455" s="3">
        <v>6912.38</v>
      </c>
    </row>
    <row r="456" spans="1:5" x14ac:dyDescent="0.25">
      <c r="A456" s="3" t="s">
        <v>5</v>
      </c>
      <c r="B456" s="3" t="s">
        <v>478</v>
      </c>
      <c r="C456" s="3" t="s">
        <v>45</v>
      </c>
      <c r="D456" s="4">
        <f>HYPERLINK("https://cao.dolgi.msk.ru/account/1060432459/", 1060432459)</f>
        <v>1060432459</v>
      </c>
      <c r="E456" s="3">
        <v>47626.879999999997</v>
      </c>
    </row>
    <row r="457" spans="1:5" x14ac:dyDescent="0.25">
      <c r="A457" s="3" t="s">
        <v>5</v>
      </c>
      <c r="B457" s="3" t="s">
        <v>478</v>
      </c>
      <c r="C457" s="3" t="s">
        <v>50</v>
      </c>
      <c r="D457" s="4">
        <f>HYPERLINK("https://cao.dolgi.msk.ru/account/1060432504/", 1060432504)</f>
        <v>1060432504</v>
      </c>
      <c r="E457" s="3">
        <v>3488.82</v>
      </c>
    </row>
    <row r="458" spans="1:5" x14ac:dyDescent="0.25">
      <c r="A458" s="3" t="s">
        <v>5</v>
      </c>
      <c r="B458" s="3" t="s">
        <v>478</v>
      </c>
      <c r="C458" s="3" t="s">
        <v>50</v>
      </c>
      <c r="D458" s="4">
        <f>HYPERLINK("https://cao.dolgi.msk.ru/account/1060823038/", 1060823038)</f>
        <v>1060823038</v>
      </c>
      <c r="E458" s="3">
        <v>22140.38</v>
      </c>
    </row>
    <row r="459" spans="1:5" x14ac:dyDescent="0.25">
      <c r="A459" s="3" t="s">
        <v>5</v>
      </c>
      <c r="B459" s="3" t="s">
        <v>478</v>
      </c>
      <c r="C459" s="3" t="s">
        <v>85</v>
      </c>
      <c r="D459" s="4">
        <f>HYPERLINK("https://cao.dolgi.msk.ru/account/1060432862/", 1060432862)</f>
        <v>1060432862</v>
      </c>
      <c r="E459" s="3">
        <v>216104.85</v>
      </c>
    </row>
    <row r="460" spans="1:5" x14ac:dyDescent="0.25">
      <c r="A460" s="3" t="s">
        <v>5</v>
      </c>
      <c r="B460" s="3" t="s">
        <v>478</v>
      </c>
      <c r="C460" s="3" t="s">
        <v>86</v>
      </c>
      <c r="D460" s="4">
        <f>HYPERLINK("https://cao.dolgi.msk.ru/account/1060432889/", 1060432889)</f>
        <v>1060432889</v>
      </c>
      <c r="E460" s="3">
        <v>6394.06</v>
      </c>
    </row>
    <row r="461" spans="1:5" x14ac:dyDescent="0.25">
      <c r="A461" s="3" t="s">
        <v>5</v>
      </c>
      <c r="B461" s="3" t="s">
        <v>478</v>
      </c>
      <c r="C461" s="3" t="s">
        <v>97</v>
      </c>
      <c r="D461" s="4">
        <f>HYPERLINK("https://cao.dolgi.msk.ru/account/1060433013/", 1060433013)</f>
        <v>1060433013</v>
      </c>
      <c r="E461" s="3">
        <v>23807.200000000001</v>
      </c>
    </row>
    <row r="462" spans="1:5" x14ac:dyDescent="0.25">
      <c r="A462" s="3" t="s">
        <v>5</v>
      </c>
      <c r="B462" s="3" t="s">
        <v>478</v>
      </c>
      <c r="C462" s="3" t="s">
        <v>108</v>
      </c>
      <c r="D462" s="4">
        <f>HYPERLINK("https://cao.dolgi.msk.ru/account/1060433195/", 1060433195)</f>
        <v>1060433195</v>
      </c>
      <c r="E462" s="3">
        <v>174614.57</v>
      </c>
    </row>
    <row r="463" spans="1:5" x14ac:dyDescent="0.25">
      <c r="A463" s="3" t="s">
        <v>5</v>
      </c>
      <c r="B463" s="3" t="s">
        <v>478</v>
      </c>
      <c r="C463" s="3" t="s">
        <v>171</v>
      </c>
      <c r="D463" s="4">
        <f>HYPERLINK("https://cao.dolgi.msk.ru/account/1060433566/", 1060433566)</f>
        <v>1060433566</v>
      </c>
      <c r="E463" s="3">
        <v>10034.459999999999</v>
      </c>
    </row>
    <row r="464" spans="1:5" x14ac:dyDescent="0.25">
      <c r="A464" s="3" t="s">
        <v>5</v>
      </c>
      <c r="B464" s="3" t="s">
        <v>478</v>
      </c>
      <c r="C464" s="3" t="s">
        <v>202</v>
      </c>
      <c r="D464" s="4">
        <f>HYPERLINK("https://cao.dolgi.msk.ru/account/1060433953/", 1060433953)</f>
        <v>1060433953</v>
      </c>
      <c r="E464" s="3">
        <v>6410.35</v>
      </c>
    </row>
    <row r="465" spans="1:5" x14ac:dyDescent="0.25">
      <c r="A465" s="3" t="s">
        <v>5</v>
      </c>
      <c r="B465" s="3" t="s">
        <v>479</v>
      </c>
      <c r="C465" s="3" t="s">
        <v>64</v>
      </c>
      <c r="D465" s="4">
        <f>HYPERLINK("https://cao.dolgi.msk.ru/account/1060116229/", 1060116229)</f>
        <v>1060116229</v>
      </c>
      <c r="E465" s="3">
        <v>5150.12</v>
      </c>
    </row>
    <row r="466" spans="1:5" x14ac:dyDescent="0.25">
      <c r="A466" s="3" t="s">
        <v>5</v>
      </c>
      <c r="B466" s="3" t="s">
        <v>479</v>
      </c>
      <c r="C466" s="3" t="s">
        <v>72</v>
      </c>
      <c r="D466" s="4">
        <f>HYPERLINK("https://cao.dolgi.msk.ru/account/1060116261/", 1060116261)</f>
        <v>1060116261</v>
      </c>
      <c r="E466" s="3">
        <v>44898.01</v>
      </c>
    </row>
    <row r="467" spans="1:5" x14ac:dyDescent="0.25">
      <c r="A467" s="3" t="s">
        <v>5</v>
      </c>
      <c r="B467" s="3" t="s">
        <v>480</v>
      </c>
      <c r="C467" s="3" t="s">
        <v>135</v>
      </c>
      <c r="D467" s="4">
        <f>HYPERLINK("https://cao.dolgi.msk.ru/account/1060116739/", 1060116739)</f>
        <v>1060116739</v>
      </c>
      <c r="E467" s="3">
        <v>10093.81</v>
      </c>
    </row>
    <row r="468" spans="1:5" x14ac:dyDescent="0.25">
      <c r="A468" s="3" t="s">
        <v>5</v>
      </c>
      <c r="B468" s="3" t="s">
        <v>480</v>
      </c>
      <c r="C468" s="3" t="s">
        <v>141</v>
      </c>
      <c r="D468" s="4">
        <f>HYPERLINK("https://cao.dolgi.msk.ru/account/1060116819/", 1060116819)</f>
        <v>1060116819</v>
      </c>
      <c r="E468" s="3">
        <v>21032.43</v>
      </c>
    </row>
    <row r="469" spans="1:5" x14ac:dyDescent="0.25">
      <c r="A469" s="3" t="s">
        <v>5</v>
      </c>
      <c r="B469" s="3" t="s">
        <v>480</v>
      </c>
      <c r="C469" s="3" t="s">
        <v>142</v>
      </c>
      <c r="D469" s="4">
        <f>HYPERLINK("https://cao.dolgi.msk.ru/account/1060116827/", 1060116827)</f>
        <v>1060116827</v>
      </c>
      <c r="E469" s="3">
        <v>10694.85</v>
      </c>
    </row>
    <row r="470" spans="1:5" x14ac:dyDescent="0.25">
      <c r="A470" s="3" t="s">
        <v>5</v>
      </c>
      <c r="B470" s="3" t="s">
        <v>480</v>
      </c>
      <c r="C470" s="3" t="s">
        <v>142</v>
      </c>
      <c r="D470" s="4">
        <f>HYPERLINK("https://cao.dolgi.msk.ru/account/1069118482/", 1069118482)</f>
        <v>1069118482</v>
      </c>
      <c r="E470" s="3">
        <v>7183.56</v>
      </c>
    </row>
    <row r="471" spans="1:5" x14ac:dyDescent="0.25">
      <c r="A471" s="3" t="s">
        <v>5</v>
      </c>
      <c r="B471" s="3" t="s">
        <v>481</v>
      </c>
      <c r="C471" s="3" t="s">
        <v>25</v>
      </c>
      <c r="D471" s="4">
        <f>HYPERLINK("https://cao.dolgi.msk.ru/account/1060239405/", 1060239405)</f>
        <v>1060239405</v>
      </c>
      <c r="E471" s="3">
        <v>9590.58</v>
      </c>
    </row>
    <row r="472" spans="1:5" x14ac:dyDescent="0.25">
      <c r="A472" s="3" t="s">
        <v>5</v>
      </c>
      <c r="B472" s="3" t="s">
        <v>481</v>
      </c>
      <c r="C472" s="3" t="s">
        <v>29</v>
      </c>
      <c r="D472" s="4">
        <f>HYPERLINK("https://cao.dolgi.msk.ru/account/1060239456/", 1060239456)</f>
        <v>1060239456</v>
      </c>
      <c r="E472" s="3">
        <v>8346.23</v>
      </c>
    </row>
    <row r="473" spans="1:5" x14ac:dyDescent="0.25">
      <c r="A473" s="3" t="s">
        <v>5</v>
      </c>
      <c r="B473" s="3" t="s">
        <v>481</v>
      </c>
      <c r="C473" s="3" t="s">
        <v>38</v>
      </c>
      <c r="D473" s="4">
        <f>HYPERLINK("https://cao.dolgi.msk.ru/account/1060239552/", 1060239552)</f>
        <v>1060239552</v>
      </c>
      <c r="E473" s="3">
        <v>15683.49</v>
      </c>
    </row>
    <row r="474" spans="1:5" x14ac:dyDescent="0.25">
      <c r="A474" s="3" t="s">
        <v>5</v>
      </c>
      <c r="B474" s="3" t="s">
        <v>481</v>
      </c>
      <c r="C474" s="3" t="s">
        <v>44</v>
      </c>
      <c r="D474" s="4">
        <f>HYPERLINK("https://cao.dolgi.msk.ru/account/1060239624/", 1060239624)</f>
        <v>1060239624</v>
      </c>
      <c r="E474" s="3">
        <v>12164.56</v>
      </c>
    </row>
    <row r="475" spans="1:5" x14ac:dyDescent="0.25">
      <c r="A475" s="3" t="s">
        <v>5</v>
      </c>
      <c r="B475" s="3" t="s">
        <v>481</v>
      </c>
      <c r="C475" s="3" t="s">
        <v>50</v>
      </c>
      <c r="D475" s="4">
        <f>HYPERLINK("https://cao.dolgi.msk.ru/account/1060239704/", 1060239704)</f>
        <v>1060239704</v>
      </c>
      <c r="E475" s="3">
        <v>73324.42</v>
      </c>
    </row>
    <row r="476" spans="1:5" x14ac:dyDescent="0.25">
      <c r="A476" s="3" t="s">
        <v>5</v>
      </c>
      <c r="B476" s="3" t="s">
        <v>481</v>
      </c>
      <c r="C476" s="3" t="s">
        <v>54</v>
      </c>
      <c r="D476" s="4">
        <f>HYPERLINK("https://cao.dolgi.msk.ru/account/1060239755/", 1060239755)</f>
        <v>1060239755</v>
      </c>
      <c r="E476" s="3">
        <v>11063.65</v>
      </c>
    </row>
    <row r="477" spans="1:5" x14ac:dyDescent="0.25">
      <c r="A477" s="3" t="s">
        <v>5</v>
      </c>
      <c r="B477" s="3" t="s">
        <v>481</v>
      </c>
      <c r="C477" s="3" t="s">
        <v>60</v>
      </c>
      <c r="D477" s="4">
        <f>HYPERLINK("https://cao.dolgi.msk.ru/account/1060239835/", 1060239835)</f>
        <v>1060239835</v>
      </c>
      <c r="E477" s="3">
        <v>4748.6099999999997</v>
      </c>
    </row>
    <row r="478" spans="1:5" x14ac:dyDescent="0.25">
      <c r="A478" s="3" t="s">
        <v>5</v>
      </c>
      <c r="B478" s="3" t="s">
        <v>481</v>
      </c>
      <c r="C478" s="3" t="s">
        <v>65</v>
      </c>
      <c r="D478" s="4">
        <f>HYPERLINK("https://cao.dolgi.msk.ru/account/1060239907/", 1060239907)</f>
        <v>1060239907</v>
      </c>
      <c r="E478" s="3">
        <v>6562.42</v>
      </c>
    </row>
    <row r="479" spans="1:5" x14ac:dyDescent="0.25">
      <c r="A479" s="3" t="s">
        <v>5</v>
      </c>
      <c r="B479" s="3" t="s">
        <v>482</v>
      </c>
      <c r="C479" s="3" t="s">
        <v>30</v>
      </c>
      <c r="D479" s="4">
        <f>HYPERLINK("https://cao.dolgi.msk.ru/account/1060257339/", 1060257339)</f>
        <v>1060257339</v>
      </c>
      <c r="E479" s="3">
        <v>30560.11</v>
      </c>
    </row>
    <row r="480" spans="1:5" x14ac:dyDescent="0.25">
      <c r="A480" s="3" t="s">
        <v>5</v>
      </c>
      <c r="B480" s="3" t="s">
        <v>482</v>
      </c>
      <c r="C480" s="3" t="s">
        <v>130</v>
      </c>
      <c r="D480" s="4">
        <f>HYPERLINK("https://cao.dolgi.msk.ru/account/1060257347/", 1060257347)</f>
        <v>1060257347</v>
      </c>
      <c r="E480" s="3">
        <v>8359.18</v>
      </c>
    </row>
    <row r="481" spans="1:5" x14ac:dyDescent="0.25">
      <c r="A481" s="3" t="s">
        <v>5</v>
      </c>
      <c r="B481" s="3" t="s">
        <v>482</v>
      </c>
      <c r="C481" s="3" t="s">
        <v>136</v>
      </c>
      <c r="D481" s="4">
        <f>HYPERLINK("https://cao.dolgi.msk.ru/account/1060257451/", 1060257451)</f>
        <v>1060257451</v>
      </c>
      <c r="E481" s="3">
        <v>209197.48</v>
      </c>
    </row>
    <row r="482" spans="1:5" x14ac:dyDescent="0.25">
      <c r="A482" s="3" t="s">
        <v>5</v>
      </c>
      <c r="B482" s="3" t="s">
        <v>482</v>
      </c>
      <c r="C482" s="3" t="s">
        <v>11</v>
      </c>
      <c r="D482" s="4">
        <f>HYPERLINK("https://cao.dolgi.msk.ru/account/1060257574/", 1060257574)</f>
        <v>1060257574</v>
      </c>
      <c r="E482" s="3">
        <v>35284.43</v>
      </c>
    </row>
    <row r="483" spans="1:5" x14ac:dyDescent="0.25">
      <c r="A483" s="3" t="s">
        <v>5</v>
      </c>
      <c r="B483" s="3" t="s">
        <v>483</v>
      </c>
      <c r="C483" s="3" t="s">
        <v>8</v>
      </c>
      <c r="D483" s="4">
        <f>HYPERLINK("https://cao.dolgi.msk.ru/account/1060000015/", 1060000015)</f>
        <v>1060000015</v>
      </c>
      <c r="E483" s="3">
        <v>5433.81</v>
      </c>
    </row>
    <row r="484" spans="1:5" x14ac:dyDescent="0.25">
      <c r="A484" s="3" t="s">
        <v>5</v>
      </c>
      <c r="B484" s="3" t="s">
        <v>483</v>
      </c>
      <c r="C484" s="3" t="s">
        <v>132</v>
      </c>
      <c r="D484" s="4">
        <f>HYPERLINK("https://cao.dolgi.msk.ru/account/1060000103/", 1060000103)</f>
        <v>1060000103</v>
      </c>
      <c r="E484" s="3">
        <v>18773.89</v>
      </c>
    </row>
    <row r="485" spans="1:5" x14ac:dyDescent="0.25">
      <c r="A485" s="3" t="s">
        <v>5</v>
      </c>
      <c r="B485" s="3" t="s">
        <v>483</v>
      </c>
      <c r="C485" s="3" t="s">
        <v>38</v>
      </c>
      <c r="D485" s="4">
        <f>HYPERLINK("https://cao.dolgi.msk.ru/account/1060000592/", 1060000592)</f>
        <v>1060000592</v>
      </c>
      <c r="E485" s="3">
        <v>18729.66</v>
      </c>
    </row>
    <row r="486" spans="1:5" x14ac:dyDescent="0.25">
      <c r="A486" s="3" t="s">
        <v>5</v>
      </c>
      <c r="B486" s="3" t="s">
        <v>484</v>
      </c>
      <c r="C486" s="3" t="s">
        <v>89</v>
      </c>
      <c r="D486" s="4">
        <f>HYPERLINK("https://cao.dolgi.msk.ru/account/1060000955/", 1060000955)</f>
        <v>1060000955</v>
      </c>
      <c r="E486" s="3">
        <v>7610.84</v>
      </c>
    </row>
    <row r="487" spans="1:5" x14ac:dyDescent="0.25">
      <c r="A487" s="3" t="s">
        <v>5</v>
      </c>
      <c r="B487" s="3" t="s">
        <v>484</v>
      </c>
      <c r="C487" s="3" t="s">
        <v>17</v>
      </c>
      <c r="D487" s="4">
        <f>HYPERLINK("https://cao.dolgi.msk.ru/account/1060001288/", 1060001288)</f>
        <v>1060001288</v>
      </c>
      <c r="E487" s="3">
        <v>17093.29</v>
      </c>
    </row>
    <row r="488" spans="1:5" x14ac:dyDescent="0.25">
      <c r="A488" s="3" t="s">
        <v>5</v>
      </c>
      <c r="B488" s="3" t="s">
        <v>484</v>
      </c>
      <c r="C488" s="3" t="s">
        <v>19</v>
      </c>
      <c r="D488" s="4">
        <f>HYPERLINK("https://cao.dolgi.msk.ru/account/1060001309/", 1060001309)</f>
        <v>1060001309</v>
      </c>
      <c r="E488" s="3">
        <v>14458.6</v>
      </c>
    </row>
    <row r="489" spans="1:5" x14ac:dyDescent="0.25">
      <c r="A489" s="3" t="s">
        <v>5</v>
      </c>
      <c r="B489" s="3" t="s">
        <v>484</v>
      </c>
      <c r="C489" s="3" t="s">
        <v>25</v>
      </c>
      <c r="D489" s="4">
        <f>HYPERLINK("https://cao.dolgi.msk.ru/account/1060001376/", 1060001376)</f>
        <v>1060001376</v>
      </c>
      <c r="E489" s="3">
        <v>12463.59</v>
      </c>
    </row>
    <row r="490" spans="1:5" x14ac:dyDescent="0.25">
      <c r="A490" s="3" t="s">
        <v>5</v>
      </c>
      <c r="B490" s="3" t="s">
        <v>484</v>
      </c>
      <c r="C490" s="3" t="s">
        <v>25</v>
      </c>
      <c r="D490" s="4">
        <f>HYPERLINK("https://cao.dolgi.msk.ru/account/1060001384/", 1060001384)</f>
        <v>1060001384</v>
      </c>
      <c r="E490" s="3">
        <v>5415.18</v>
      </c>
    </row>
    <row r="491" spans="1:5" x14ac:dyDescent="0.25">
      <c r="A491" s="3" t="s">
        <v>5</v>
      </c>
      <c r="B491" s="3" t="s">
        <v>484</v>
      </c>
      <c r="C491" s="3" t="s">
        <v>25</v>
      </c>
      <c r="D491" s="4">
        <f>HYPERLINK("https://cao.dolgi.msk.ru/account/1060001392/", 1060001392)</f>
        <v>1060001392</v>
      </c>
      <c r="E491" s="3">
        <v>25909.17</v>
      </c>
    </row>
    <row r="492" spans="1:5" x14ac:dyDescent="0.25">
      <c r="A492" s="3" t="s">
        <v>5</v>
      </c>
      <c r="B492" s="3" t="s">
        <v>484</v>
      </c>
      <c r="C492" s="3" t="s">
        <v>36</v>
      </c>
      <c r="D492" s="4">
        <f>HYPERLINK("https://cao.dolgi.msk.ru/account/1060001579/", 1060001579)</f>
        <v>1060001579</v>
      </c>
      <c r="E492" s="3">
        <v>239273.93</v>
      </c>
    </row>
    <row r="493" spans="1:5" x14ac:dyDescent="0.25">
      <c r="A493" s="3" t="s">
        <v>5</v>
      </c>
      <c r="B493" s="3" t="s">
        <v>484</v>
      </c>
      <c r="C493" s="3" t="s">
        <v>38</v>
      </c>
      <c r="D493" s="4">
        <f>HYPERLINK("https://cao.dolgi.msk.ru/account/1060001595/", 1060001595)</f>
        <v>1060001595</v>
      </c>
      <c r="E493" s="3">
        <v>34760.370000000003</v>
      </c>
    </row>
    <row r="494" spans="1:5" x14ac:dyDescent="0.25">
      <c r="A494" s="3" t="s">
        <v>5</v>
      </c>
      <c r="B494" s="3" t="s">
        <v>484</v>
      </c>
      <c r="C494" s="3" t="s">
        <v>43</v>
      </c>
      <c r="D494" s="4">
        <f>HYPERLINK("https://cao.dolgi.msk.ru/account/1060001691/", 1060001691)</f>
        <v>1060001691</v>
      </c>
      <c r="E494" s="3">
        <v>9219.73</v>
      </c>
    </row>
    <row r="495" spans="1:5" x14ac:dyDescent="0.25">
      <c r="A495" s="3" t="s">
        <v>5</v>
      </c>
      <c r="B495" s="3" t="s">
        <v>484</v>
      </c>
      <c r="C495" s="3" t="s">
        <v>98</v>
      </c>
      <c r="D495" s="4">
        <f>HYPERLINK("https://cao.dolgi.msk.ru/account/1060002002/", 1060002002)</f>
        <v>1060002002</v>
      </c>
      <c r="E495" s="3">
        <v>11256.92</v>
      </c>
    </row>
    <row r="496" spans="1:5" x14ac:dyDescent="0.25">
      <c r="A496" s="3" t="s">
        <v>5</v>
      </c>
      <c r="B496" s="3" t="s">
        <v>484</v>
      </c>
      <c r="C496" s="3" t="s">
        <v>99</v>
      </c>
      <c r="D496" s="4">
        <f>HYPERLINK("https://cao.dolgi.msk.ru/account/1060002029/", 1060002029)</f>
        <v>1060002029</v>
      </c>
      <c r="E496" s="3">
        <v>31634.73</v>
      </c>
    </row>
    <row r="497" spans="1:5" x14ac:dyDescent="0.25">
      <c r="A497" s="3" t="s">
        <v>5</v>
      </c>
      <c r="B497" s="3" t="s">
        <v>485</v>
      </c>
      <c r="C497" s="3" t="s">
        <v>59</v>
      </c>
      <c r="D497" s="4">
        <f>HYPERLINK("https://cao.dolgi.msk.ru/account/1060067009/", 1060067009)</f>
        <v>1060067009</v>
      </c>
      <c r="E497" s="3">
        <v>21290.12</v>
      </c>
    </row>
    <row r="498" spans="1:5" x14ac:dyDescent="0.25">
      <c r="A498" s="3" t="s">
        <v>5</v>
      </c>
      <c r="B498" s="3" t="s">
        <v>485</v>
      </c>
      <c r="C498" s="3" t="s">
        <v>83</v>
      </c>
      <c r="D498" s="4">
        <f>HYPERLINK("https://cao.dolgi.msk.ru/account/1060067404/", 1060067404)</f>
        <v>1060067404</v>
      </c>
      <c r="E498" s="3">
        <v>17074.77</v>
      </c>
    </row>
    <row r="499" spans="1:5" x14ac:dyDescent="0.25">
      <c r="A499" s="3" t="s">
        <v>5</v>
      </c>
      <c r="B499" s="3" t="s">
        <v>485</v>
      </c>
      <c r="C499" s="3" t="s">
        <v>86</v>
      </c>
      <c r="D499" s="4">
        <f>HYPERLINK("https://cao.dolgi.msk.ru/account/1060067463/", 1060067463)</f>
        <v>1060067463</v>
      </c>
      <c r="E499" s="3">
        <v>10216.57</v>
      </c>
    </row>
    <row r="500" spans="1:5" x14ac:dyDescent="0.25">
      <c r="A500" s="3" t="s">
        <v>5</v>
      </c>
      <c r="B500" s="3" t="s">
        <v>485</v>
      </c>
      <c r="C500" s="3" t="s">
        <v>87</v>
      </c>
      <c r="D500" s="4">
        <f>HYPERLINK("https://cao.dolgi.msk.ru/account/1060067498/", 1060067498)</f>
        <v>1060067498</v>
      </c>
      <c r="E500" s="3">
        <v>7874.6</v>
      </c>
    </row>
    <row r="501" spans="1:5" x14ac:dyDescent="0.25">
      <c r="A501" s="3" t="s">
        <v>5</v>
      </c>
      <c r="B501" s="3" t="s">
        <v>485</v>
      </c>
      <c r="C501" s="3" t="s">
        <v>92</v>
      </c>
      <c r="D501" s="4">
        <f>HYPERLINK("https://cao.dolgi.msk.ru/account/1060067615/", 1060067615)</f>
        <v>1060067615</v>
      </c>
      <c r="E501" s="3">
        <v>80269.39</v>
      </c>
    </row>
    <row r="502" spans="1:5" x14ac:dyDescent="0.25">
      <c r="A502" s="3" t="s">
        <v>5</v>
      </c>
      <c r="B502" s="3" t="s">
        <v>486</v>
      </c>
      <c r="C502" s="3" t="s">
        <v>42</v>
      </c>
      <c r="D502" s="4">
        <f>HYPERLINK("https://cao.dolgi.msk.ru/account/1060218305/", 1060218305)</f>
        <v>1060218305</v>
      </c>
      <c r="E502" s="3">
        <v>5911.68</v>
      </c>
    </row>
    <row r="503" spans="1:5" x14ac:dyDescent="0.25">
      <c r="A503" s="3" t="s">
        <v>5</v>
      </c>
      <c r="B503" s="3" t="s">
        <v>486</v>
      </c>
      <c r="C503" s="3" t="s">
        <v>48</v>
      </c>
      <c r="D503" s="4">
        <f>HYPERLINK("https://cao.dolgi.msk.ru/account/1060218428/", 1060218428)</f>
        <v>1060218428</v>
      </c>
      <c r="E503" s="3">
        <v>33753.440000000002</v>
      </c>
    </row>
    <row r="504" spans="1:5" x14ac:dyDescent="0.25">
      <c r="A504" s="3" t="s">
        <v>5</v>
      </c>
      <c r="B504" s="3" t="s">
        <v>486</v>
      </c>
      <c r="C504" s="3" t="s">
        <v>58</v>
      </c>
      <c r="D504" s="4">
        <f>HYPERLINK("https://cao.dolgi.msk.ru/account/1060218591/", 1060218591)</f>
        <v>1060218591</v>
      </c>
      <c r="E504" s="3">
        <v>1588.82</v>
      </c>
    </row>
    <row r="505" spans="1:5" x14ac:dyDescent="0.25">
      <c r="A505" s="3" t="s">
        <v>5</v>
      </c>
      <c r="B505" s="3" t="s">
        <v>486</v>
      </c>
      <c r="C505" s="3" t="s">
        <v>64</v>
      </c>
      <c r="D505" s="4">
        <f>HYPERLINK("https://cao.dolgi.msk.ru/account/1060218743/", 1060218743)</f>
        <v>1060218743</v>
      </c>
      <c r="E505" s="3">
        <v>162326.46</v>
      </c>
    </row>
    <row r="506" spans="1:5" x14ac:dyDescent="0.25">
      <c r="A506" s="3" t="s">
        <v>5</v>
      </c>
      <c r="B506" s="3" t="s">
        <v>486</v>
      </c>
      <c r="C506" s="3" t="s">
        <v>82</v>
      </c>
      <c r="D506" s="4">
        <f>HYPERLINK("https://cao.dolgi.msk.ru/account/1060218989/", 1060218989)</f>
        <v>1060218989</v>
      </c>
      <c r="E506" s="3">
        <v>8273.26</v>
      </c>
    </row>
    <row r="507" spans="1:5" x14ac:dyDescent="0.25">
      <c r="A507" s="3" t="s">
        <v>5</v>
      </c>
      <c r="B507" s="3" t="s">
        <v>487</v>
      </c>
      <c r="C507" s="3" t="s">
        <v>137</v>
      </c>
      <c r="D507" s="4">
        <f>HYPERLINK("https://cao.dolgi.msk.ru/account/1060002408/", 1060002408)</f>
        <v>1060002408</v>
      </c>
      <c r="E507" s="3">
        <v>10227.530000000001</v>
      </c>
    </row>
    <row r="508" spans="1:5" x14ac:dyDescent="0.25">
      <c r="A508" s="3" t="s">
        <v>5</v>
      </c>
      <c r="B508" s="3" t="s">
        <v>487</v>
      </c>
      <c r="C508" s="3" t="s">
        <v>139</v>
      </c>
      <c r="D508" s="4">
        <f>HYPERLINK("https://cao.dolgi.msk.ru/account/1060002424/", 1060002424)</f>
        <v>1060002424</v>
      </c>
      <c r="E508" s="3">
        <v>62044.63</v>
      </c>
    </row>
    <row r="509" spans="1:5" x14ac:dyDescent="0.25">
      <c r="A509" s="3" t="s">
        <v>5</v>
      </c>
      <c r="B509" s="3" t="s">
        <v>487</v>
      </c>
      <c r="C509" s="3" t="s">
        <v>141</v>
      </c>
      <c r="D509" s="4">
        <f>HYPERLINK("https://cao.dolgi.msk.ru/account/1060002459/", 1060002459)</f>
        <v>1060002459</v>
      </c>
      <c r="E509" s="3">
        <v>6333.79</v>
      </c>
    </row>
    <row r="510" spans="1:5" x14ac:dyDescent="0.25">
      <c r="A510" s="3" t="s">
        <v>5</v>
      </c>
      <c r="B510" s="3" t="s">
        <v>488</v>
      </c>
      <c r="C510" s="3" t="s">
        <v>46</v>
      </c>
      <c r="D510" s="4">
        <f>HYPERLINK("https://cao.dolgi.msk.ru/account/1060004024/", 1060004024)</f>
        <v>1060004024</v>
      </c>
      <c r="E510" s="3">
        <v>31976.17</v>
      </c>
    </row>
    <row r="511" spans="1:5" x14ac:dyDescent="0.25">
      <c r="A511" s="3" t="s">
        <v>5</v>
      </c>
      <c r="B511" s="3" t="s">
        <v>488</v>
      </c>
      <c r="C511" s="3" t="s">
        <v>64</v>
      </c>
      <c r="D511" s="4">
        <f>HYPERLINK("https://cao.dolgi.msk.ru/account/1060004235/", 1060004235)</f>
        <v>1060004235</v>
      </c>
      <c r="E511" s="3">
        <v>20764.62</v>
      </c>
    </row>
    <row r="512" spans="1:5" x14ac:dyDescent="0.25">
      <c r="A512" s="3" t="s">
        <v>5</v>
      </c>
      <c r="B512" s="3" t="s">
        <v>488</v>
      </c>
      <c r="C512" s="3" t="s">
        <v>72</v>
      </c>
      <c r="D512" s="4">
        <f>HYPERLINK("https://cao.dolgi.msk.ru/account/1060004286/", 1060004286)</f>
        <v>1060004286</v>
      </c>
      <c r="E512" s="3">
        <v>23316.82</v>
      </c>
    </row>
    <row r="513" spans="1:5" x14ac:dyDescent="0.25">
      <c r="A513" s="3" t="s">
        <v>5</v>
      </c>
      <c r="B513" s="3" t="s">
        <v>488</v>
      </c>
      <c r="C513" s="3" t="s">
        <v>83</v>
      </c>
      <c r="D513" s="4">
        <f>HYPERLINK("https://cao.dolgi.msk.ru/account/1060004462/", 1060004462)</f>
        <v>1060004462</v>
      </c>
      <c r="E513" s="3">
        <v>129562.92</v>
      </c>
    </row>
    <row r="514" spans="1:5" x14ac:dyDescent="0.25">
      <c r="A514" s="3" t="s">
        <v>5</v>
      </c>
      <c r="B514" s="3" t="s">
        <v>488</v>
      </c>
      <c r="C514" s="3" t="s">
        <v>84</v>
      </c>
      <c r="D514" s="4">
        <f>HYPERLINK("https://cao.dolgi.msk.ru/account/1060004489/", 1060004489)</f>
        <v>1060004489</v>
      </c>
      <c r="E514" s="3">
        <v>9806.32</v>
      </c>
    </row>
    <row r="515" spans="1:5" x14ac:dyDescent="0.25">
      <c r="A515" s="3" t="s">
        <v>5</v>
      </c>
      <c r="B515" s="3" t="s">
        <v>488</v>
      </c>
      <c r="C515" s="3" t="s">
        <v>88</v>
      </c>
      <c r="D515" s="4">
        <f>HYPERLINK("https://cao.dolgi.msk.ru/account/1060004542/", 1060004542)</f>
        <v>1060004542</v>
      </c>
      <c r="E515" s="3">
        <v>33532.199999999997</v>
      </c>
    </row>
    <row r="516" spans="1:5" x14ac:dyDescent="0.25">
      <c r="A516" s="3" t="s">
        <v>5</v>
      </c>
      <c r="B516" s="3" t="s">
        <v>488</v>
      </c>
      <c r="C516" s="3" t="s">
        <v>144</v>
      </c>
      <c r="D516" s="4">
        <f>HYPERLINK("https://cao.dolgi.msk.ru/account/1060004569/", 1060004569)</f>
        <v>1060004569</v>
      </c>
      <c r="E516" s="3">
        <v>6174.19</v>
      </c>
    </row>
    <row r="517" spans="1:5" x14ac:dyDescent="0.25">
      <c r="A517" s="3" t="s">
        <v>5</v>
      </c>
      <c r="B517" s="3" t="s">
        <v>489</v>
      </c>
      <c r="C517" s="3" t="s">
        <v>9</v>
      </c>
      <c r="D517" s="4">
        <f>HYPERLINK("https://cao.dolgi.msk.ru/account/1060897942/", 1060897942)</f>
        <v>1060897942</v>
      </c>
      <c r="E517" s="3">
        <v>16603.740000000002</v>
      </c>
    </row>
    <row r="518" spans="1:5" x14ac:dyDescent="0.25">
      <c r="A518" s="3" t="s">
        <v>5</v>
      </c>
      <c r="B518" s="3" t="s">
        <v>489</v>
      </c>
      <c r="C518" s="3" t="s">
        <v>105</v>
      </c>
      <c r="D518" s="4">
        <f>HYPERLINK("https://cao.dolgi.msk.ru/account/1060070056/", 1060070056)</f>
        <v>1060070056</v>
      </c>
      <c r="E518" s="3">
        <v>17076.16</v>
      </c>
    </row>
    <row r="519" spans="1:5" x14ac:dyDescent="0.25">
      <c r="A519" s="3" t="s">
        <v>5</v>
      </c>
      <c r="B519" s="3" t="s">
        <v>489</v>
      </c>
      <c r="C519" s="3" t="s">
        <v>132</v>
      </c>
      <c r="D519" s="4">
        <f>HYPERLINK("https://cao.dolgi.msk.ru/account/1060070064/", 1060070064)</f>
        <v>1060070064</v>
      </c>
      <c r="E519" s="3">
        <v>32752.89</v>
      </c>
    </row>
    <row r="520" spans="1:5" x14ac:dyDescent="0.25">
      <c r="A520" s="3" t="s">
        <v>5</v>
      </c>
      <c r="B520" s="3" t="s">
        <v>489</v>
      </c>
      <c r="C520" s="3" t="s">
        <v>14</v>
      </c>
      <c r="D520" s="4">
        <f>HYPERLINK("https://cao.dolgi.msk.ru/account/1060070275/", 1060070275)</f>
        <v>1060070275</v>
      </c>
      <c r="E520" s="3">
        <v>3165.86</v>
      </c>
    </row>
    <row r="521" spans="1:5" x14ac:dyDescent="0.25">
      <c r="A521" s="3" t="s">
        <v>5</v>
      </c>
      <c r="B521" s="3" t="s">
        <v>489</v>
      </c>
      <c r="C521" s="3" t="s">
        <v>21</v>
      </c>
      <c r="D521" s="4">
        <f>HYPERLINK("https://cao.dolgi.msk.ru/account/1060070363/", 1060070363)</f>
        <v>1060070363</v>
      </c>
      <c r="E521" s="3">
        <v>35470.1</v>
      </c>
    </row>
    <row r="522" spans="1:5" x14ac:dyDescent="0.25">
      <c r="A522" s="3" t="s">
        <v>5</v>
      </c>
      <c r="B522" s="3" t="s">
        <v>490</v>
      </c>
      <c r="C522" s="3" t="s">
        <v>15</v>
      </c>
      <c r="D522" s="4">
        <f>HYPERLINK("https://cao.dolgi.msk.ru/account/1060003347/", 1060003347)</f>
        <v>1060003347</v>
      </c>
      <c r="E522" s="3">
        <v>8527.32</v>
      </c>
    </row>
    <row r="523" spans="1:5" x14ac:dyDescent="0.25">
      <c r="A523" s="3" t="s">
        <v>5</v>
      </c>
      <c r="B523" s="3" t="s">
        <v>490</v>
      </c>
      <c r="C523" s="3" t="s">
        <v>42</v>
      </c>
      <c r="D523" s="4">
        <f>HYPERLINK("https://cao.dolgi.msk.ru/account/1060003662/", 1060003662)</f>
        <v>1060003662</v>
      </c>
      <c r="E523" s="3">
        <v>5097.18</v>
      </c>
    </row>
    <row r="524" spans="1:5" x14ac:dyDescent="0.25">
      <c r="A524" s="3" t="s">
        <v>5</v>
      </c>
      <c r="B524" s="3" t="s">
        <v>491</v>
      </c>
      <c r="C524" s="3" t="s">
        <v>51</v>
      </c>
      <c r="D524" s="4">
        <f>HYPERLINK("https://cao.dolgi.msk.ru/account/1060817834/", 1060817834)</f>
        <v>1060817834</v>
      </c>
      <c r="E524" s="3">
        <v>1513.37</v>
      </c>
    </row>
    <row r="525" spans="1:5" x14ac:dyDescent="0.25">
      <c r="A525" s="3" t="s">
        <v>5</v>
      </c>
      <c r="B525" s="3" t="s">
        <v>491</v>
      </c>
      <c r="C525" s="3" t="s">
        <v>51</v>
      </c>
      <c r="D525" s="4">
        <f>HYPERLINK("https://cao.dolgi.msk.ru/account/1060817842/", 1060817842)</f>
        <v>1060817842</v>
      </c>
      <c r="E525" s="3">
        <v>1134.1199999999999</v>
      </c>
    </row>
    <row r="526" spans="1:5" x14ac:dyDescent="0.25">
      <c r="A526" s="3" t="s">
        <v>5</v>
      </c>
      <c r="B526" s="3" t="s">
        <v>491</v>
      </c>
      <c r="C526" s="3" t="s">
        <v>9</v>
      </c>
      <c r="D526" s="4">
        <f>HYPERLINK("https://cao.dolgi.msk.ru/account/1060004825/", 1060004825)</f>
        <v>1060004825</v>
      </c>
      <c r="E526" s="3">
        <v>28534.880000000001</v>
      </c>
    </row>
    <row r="527" spans="1:5" x14ac:dyDescent="0.25">
      <c r="A527" s="3" t="s">
        <v>5</v>
      </c>
      <c r="B527" s="3" t="s">
        <v>491</v>
      </c>
      <c r="C527" s="3" t="s">
        <v>31</v>
      </c>
      <c r="D527" s="4">
        <f>HYPERLINK("https://cao.dolgi.msk.ru/account/1060005262/", 1060005262)</f>
        <v>1060005262</v>
      </c>
      <c r="E527" s="3">
        <v>19933.169999999998</v>
      </c>
    </row>
    <row r="528" spans="1:5" x14ac:dyDescent="0.25">
      <c r="A528" s="3" t="s">
        <v>5</v>
      </c>
      <c r="B528" s="3" t="s">
        <v>492</v>
      </c>
      <c r="C528" s="3" t="s">
        <v>143</v>
      </c>
      <c r="D528" s="4">
        <f>HYPERLINK("https://cao.dolgi.msk.ru/account/1060005537/", 1060005537)</f>
        <v>1060005537</v>
      </c>
      <c r="E528" s="3">
        <v>34496.519999999997</v>
      </c>
    </row>
    <row r="529" spans="1:5" x14ac:dyDescent="0.25">
      <c r="A529" s="3" t="s">
        <v>5</v>
      </c>
      <c r="B529" s="3" t="s">
        <v>492</v>
      </c>
      <c r="C529" s="3" t="s">
        <v>20</v>
      </c>
      <c r="D529" s="4">
        <f>HYPERLINK("https://cao.dolgi.msk.ru/account/1060005676/", 1060005676)</f>
        <v>1060005676</v>
      </c>
      <c r="E529" s="3">
        <v>34344.730000000003</v>
      </c>
    </row>
    <row r="530" spans="1:5" x14ac:dyDescent="0.25">
      <c r="A530" s="3" t="s">
        <v>5</v>
      </c>
      <c r="B530" s="3" t="s">
        <v>492</v>
      </c>
      <c r="C530" s="3" t="s">
        <v>25</v>
      </c>
      <c r="D530" s="4">
        <f>HYPERLINK("https://cao.dolgi.msk.ru/account/1060005721/", 1060005721)</f>
        <v>1060005721</v>
      </c>
      <c r="E530" s="3">
        <v>13092.55</v>
      </c>
    </row>
    <row r="531" spans="1:5" x14ac:dyDescent="0.25">
      <c r="A531" s="3" t="s">
        <v>5</v>
      </c>
      <c r="B531" s="3" t="s">
        <v>492</v>
      </c>
      <c r="C531" s="3" t="s">
        <v>47</v>
      </c>
      <c r="D531" s="4">
        <f>HYPERLINK("https://cao.dolgi.msk.ru/account/1060005983/", 1060005983)</f>
        <v>1060005983</v>
      </c>
      <c r="E531" s="3">
        <v>5295.77</v>
      </c>
    </row>
    <row r="532" spans="1:5" x14ac:dyDescent="0.25">
      <c r="A532" s="3" t="s">
        <v>5</v>
      </c>
      <c r="B532" s="3" t="s">
        <v>493</v>
      </c>
      <c r="C532" s="3" t="s">
        <v>9</v>
      </c>
      <c r="D532" s="4">
        <f>HYPERLINK("https://cao.dolgi.msk.ru/account/1060006919/", 1060006919)</f>
        <v>1060006919</v>
      </c>
      <c r="E532" s="3">
        <v>15779.4</v>
      </c>
    </row>
    <row r="533" spans="1:5" x14ac:dyDescent="0.25">
      <c r="A533" s="3" t="s">
        <v>5</v>
      </c>
      <c r="B533" s="3" t="s">
        <v>493</v>
      </c>
      <c r="C533" s="3" t="s">
        <v>143</v>
      </c>
      <c r="D533" s="4">
        <f>HYPERLINK("https://cao.dolgi.msk.ru/account/1060007073/", 1060007073)</f>
        <v>1060007073</v>
      </c>
      <c r="E533" s="3">
        <v>39111.800000000003</v>
      </c>
    </row>
    <row r="534" spans="1:5" x14ac:dyDescent="0.25">
      <c r="A534" s="3" t="s">
        <v>5</v>
      </c>
      <c r="B534" s="3" t="s">
        <v>493</v>
      </c>
      <c r="C534" s="3" t="s">
        <v>23</v>
      </c>
      <c r="D534" s="4">
        <f>HYPERLINK("https://cao.dolgi.msk.ru/account/1060007268/", 1060007268)</f>
        <v>1060007268</v>
      </c>
      <c r="E534" s="3">
        <v>5990.56</v>
      </c>
    </row>
    <row r="535" spans="1:5" x14ac:dyDescent="0.25">
      <c r="A535" s="3" t="s">
        <v>5</v>
      </c>
      <c r="B535" s="3" t="s">
        <v>493</v>
      </c>
      <c r="C535" s="3" t="s">
        <v>32</v>
      </c>
      <c r="D535" s="4">
        <f>HYPERLINK("https://cao.dolgi.msk.ru/account/1060007356/", 1060007356)</f>
        <v>1060007356</v>
      </c>
      <c r="E535" s="3">
        <v>13466.05</v>
      </c>
    </row>
    <row r="536" spans="1:5" x14ac:dyDescent="0.25">
      <c r="A536" s="3" t="s">
        <v>5</v>
      </c>
      <c r="B536" s="3" t="s">
        <v>493</v>
      </c>
      <c r="C536" s="3" t="s">
        <v>36</v>
      </c>
      <c r="D536" s="4">
        <f>HYPERLINK("https://cao.dolgi.msk.ru/account/1060007401/", 1060007401)</f>
        <v>1060007401</v>
      </c>
      <c r="E536" s="3">
        <v>292473.52</v>
      </c>
    </row>
    <row r="537" spans="1:5" x14ac:dyDescent="0.25">
      <c r="A537" s="3" t="s">
        <v>5</v>
      </c>
      <c r="B537" s="3" t="s">
        <v>493</v>
      </c>
      <c r="C537" s="3" t="s">
        <v>39</v>
      </c>
      <c r="D537" s="4">
        <f>HYPERLINK("https://cao.dolgi.msk.ru/account/1060007444/", 1060007444)</f>
        <v>1060007444</v>
      </c>
      <c r="E537" s="3">
        <v>886377.07</v>
      </c>
    </row>
    <row r="538" spans="1:5" x14ac:dyDescent="0.25">
      <c r="A538" s="3" t="s">
        <v>5</v>
      </c>
      <c r="B538" s="3" t="s">
        <v>493</v>
      </c>
      <c r="C538" s="3" t="s">
        <v>43</v>
      </c>
      <c r="D538" s="4">
        <f>HYPERLINK("https://cao.dolgi.msk.ru/account/1060007495/", 1060007495)</f>
        <v>1060007495</v>
      </c>
      <c r="E538" s="3">
        <v>9389.23</v>
      </c>
    </row>
    <row r="539" spans="1:5" x14ac:dyDescent="0.25">
      <c r="A539" s="3" t="s">
        <v>5</v>
      </c>
      <c r="B539" s="3" t="s">
        <v>493</v>
      </c>
      <c r="C539" s="3" t="s">
        <v>47</v>
      </c>
      <c r="D539" s="4">
        <f>HYPERLINK("https://cao.dolgi.msk.ru/account/1060007532/", 1060007532)</f>
        <v>1060007532</v>
      </c>
      <c r="E539" s="3">
        <v>19008.73</v>
      </c>
    </row>
    <row r="540" spans="1:5" x14ac:dyDescent="0.25">
      <c r="A540" s="3" t="s">
        <v>5</v>
      </c>
      <c r="B540" s="3" t="s">
        <v>493</v>
      </c>
      <c r="C540" s="3" t="s">
        <v>49</v>
      </c>
      <c r="D540" s="4">
        <f>HYPERLINK("https://cao.dolgi.msk.ru/account/1060007567/", 1060007567)</f>
        <v>1060007567</v>
      </c>
      <c r="E540" s="3">
        <v>5688.9</v>
      </c>
    </row>
    <row r="541" spans="1:5" x14ac:dyDescent="0.25">
      <c r="A541" s="3" t="s">
        <v>5</v>
      </c>
      <c r="B541" s="3" t="s">
        <v>493</v>
      </c>
      <c r="C541" s="3" t="s">
        <v>54</v>
      </c>
      <c r="D541" s="4">
        <f>HYPERLINK("https://cao.dolgi.msk.ru/account/1060007604/", 1060007604)</f>
        <v>1060007604</v>
      </c>
      <c r="E541" s="3">
        <v>20614.740000000002</v>
      </c>
    </row>
    <row r="542" spans="1:5" x14ac:dyDescent="0.25">
      <c r="A542" s="3" t="s">
        <v>5</v>
      </c>
      <c r="B542" s="3" t="s">
        <v>494</v>
      </c>
      <c r="C542" s="3" t="s">
        <v>139</v>
      </c>
      <c r="D542" s="4">
        <f>HYPERLINK("https://cao.dolgi.msk.ru/account/1060069901/", 1060069901)</f>
        <v>1060069901</v>
      </c>
      <c r="E542" s="3">
        <v>10275.16</v>
      </c>
    </row>
    <row r="543" spans="1:5" x14ac:dyDescent="0.25">
      <c r="A543" s="3" t="s">
        <v>5</v>
      </c>
      <c r="B543" s="3" t="s">
        <v>494</v>
      </c>
      <c r="C543" s="3" t="s">
        <v>141</v>
      </c>
      <c r="D543" s="4">
        <f>HYPERLINK("https://cao.dolgi.msk.ru/account/1060069952/", 1060069952)</f>
        <v>1060069952</v>
      </c>
      <c r="E543" s="3">
        <v>23548.35</v>
      </c>
    </row>
    <row r="544" spans="1:5" x14ac:dyDescent="0.25">
      <c r="A544" s="3" t="s">
        <v>5</v>
      </c>
      <c r="B544" s="3" t="s">
        <v>494</v>
      </c>
      <c r="C544" s="3" t="s">
        <v>143</v>
      </c>
      <c r="D544" s="4">
        <f>HYPERLINK("https://cao.dolgi.msk.ru/account/1069130617/", 1069130617)</f>
        <v>1069130617</v>
      </c>
      <c r="E544" s="3">
        <v>7086.95</v>
      </c>
    </row>
    <row r="545" spans="1:5" x14ac:dyDescent="0.25">
      <c r="A545" s="3" t="s">
        <v>5</v>
      </c>
      <c r="B545" s="3" t="s">
        <v>494</v>
      </c>
      <c r="C545" s="3" t="s">
        <v>143</v>
      </c>
      <c r="D545" s="4">
        <f>HYPERLINK("https://cao.dolgi.msk.ru/account/1069131652/", 1069131652)</f>
        <v>1069131652</v>
      </c>
      <c r="E545" s="3">
        <v>32221.06</v>
      </c>
    </row>
    <row r="546" spans="1:5" x14ac:dyDescent="0.25">
      <c r="A546" s="3" t="s">
        <v>5</v>
      </c>
      <c r="B546" s="3" t="s">
        <v>494</v>
      </c>
      <c r="C546" s="3" t="s">
        <v>13</v>
      </c>
      <c r="D546" s="4">
        <f>HYPERLINK("https://cao.dolgi.msk.ru/account/1060043066/", 1060043066)</f>
        <v>1060043066</v>
      </c>
      <c r="E546" s="3">
        <v>9975.11</v>
      </c>
    </row>
    <row r="547" spans="1:5" x14ac:dyDescent="0.25">
      <c r="A547" s="3" t="s">
        <v>5</v>
      </c>
      <c r="B547" s="3" t="s">
        <v>494</v>
      </c>
      <c r="C547" s="3" t="s">
        <v>18</v>
      </c>
      <c r="D547" s="4">
        <f>HYPERLINK("https://cao.dolgi.msk.ru/account/1060043146/", 1060043146)</f>
        <v>1060043146</v>
      </c>
      <c r="E547" s="3">
        <v>17842.55</v>
      </c>
    </row>
    <row r="548" spans="1:5" x14ac:dyDescent="0.25">
      <c r="A548" s="3" t="s">
        <v>5</v>
      </c>
      <c r="B548" s="3" t="s">
        <v>494</v>
      </c>
      <c r="C548" s="3" t="s">
        <v>495</v>
      </c>
      <c r="D548" s="4">
        <f>HYPERLINK("https://cao.dolgi.msk.ru/account/1060778177/", 1060778177)</f>
        <v>1060778177</v>
      </c>
      <c r="E548" s="3">
        <v>134730.91</v>
      </c>
    </row>
    <row r="549" spans="1:5" x14ac:dyDescent="0.25">
      <c r="A549" s="3" t="s">
        <v>5</v>
      </c>
      <c r="B549" s="3" t="s">
        <v>494</v>
      </c>
      <c r="C549" s="3" t="s">
        <v>496</v>
      </c>
      <c r="D549" s="4">
        <f>HYPERLINK("https://cao.dolgi.msk.ru/account/1060778249/", 1060778249)</f>
        <v>1060778249</v>
      </c>
      <c r="E549" s="3">
        <v>14210.51</v>
      </c>
    </row>
    <row r="550" spans="1:5" x14ac:dyDescent="0.25">
      <c r="A550" s="3" t="s">
        <v>5</v>
      </c>
      <c r="B550" s="3" t="s">
        <v>494</v>
      </c>
      <c r="C550" s="3" t="s">
        <v>29</v>
      </c>
      <c r="D550" s="4">
        <f>HYPERLINK("https://cao.dolgi.msk.ru/account/1060076984/", 1060076984)</f>
        <v>1060076984</v>
      </c>
      <c r="E550" s="3">
        <v>124443.29</v>
      </c>
    </row>
    <row r="551" spans="1:5" x14ac:dyDescent="0.25">
      <c r="A551" s="3" t="s">
        <v>5</v>
      </c>
      <c r="B551" s="3" t="s">
        <v>494</v>
      </c>
      <c r="C551" s="3" t="s">
        <v>29</v>
      </c>
      <c r="D551" s="4">
        <f>HYPERLINK("https://cao.dolgi.msk.ru/account/1060870213/", 1060870213)</f>
        <v>1060870213</v>
      </c>
      <c r="E551" s="3">
        <v>87735.25</v>
      </c>
    </row>
    <row r="552" spans="1:5" x14ac:dyDescent="0.25">
      <c r="A552" s="3" t="s">
        <v>5</v>
      </c>
      <c r="B552" s="3" t="s">
        <v>494</v>
      </c>
      <c r="C552" s="3" t="s">
        <v>33</v>
      </c>
      <c r="D552" s="4">
        <f>HYPERLINK("https://cao.dolgi.msk.ru/account/1060077098/", 1060077098)</f>
        <v>1060077098</v>
      </c>
      <c r="E552" s="3">
        <v>32367.759999999998</v>
      </c>
    </row>
    <row r="553" spans="1:5" x14ac:dyDescent="0.25">
      <c r="A553" s="3" t="s">
        <v>5</v>
      </c>
      <c r="B553" s="3" t="s">
        <v>494</v>
      </c>
      <c r="C553" s="3" t="s">
        <v>36</v>
      </c>
      <c r="D553" s="4">
        <f>HYPERLINK("https://cao.dolgi.msk.ru/account/1060077311/", 1060077311)</f>
        <v>1060077311</v>
      </c>
      <c r="E553" s="3">
        <v>18546.939999999999</v>
      </c>
    </row>
    <row r="554" spans="1:5" x14ac:dyDescent="0.25">
      <c r="A554" s="3" t="s">
        <v>5</v>
      </c>
      <c r="B554" s="3" t="s">
        <v>494</v>
      </c>
      <c r="C554" s="3" t="s">
        <v>37</v>
      </c>
      <c r="D554" s="4">
        <f>HYPERLINK("https://cao.dolgi.msk.ru/account/1060077389/", 1060077389)</f>
        <v>1060077389</v>
      </c>
      <c r="E554" s="3">
        <v>9542.2900000000009</v>
      </c>
    </row>
    <row r="555" spans="1:5" x14ac:dyDescent="0.25">
      <c r="A555" s="3" t="s">
        <v>5</v>
      </c>
      <c r="B555" s="3" t="s">
        <v>494</v>
      </c>
      <c r="C555" s="3" t="s">
        <v>39</v>
      </c>
      <c r="D555" s="4">
        <f>HYPERLINK("https://cao.dolgi.msk.ru/account/1060077426/", 1060077426)</f>
        <v>1060077426</v>
      </c>
      <c r="E555" s="3">
        <v>6037.22</v>
      </c>
    </row>
    <row r="556" spans="1:5" x14ac:dyDescent="0.25">
      <c r="A556" s="3" t="s">
        <v>5</v>
      </c>
      <c r="B556" s="3" t="s">
        <v>497</v>
      </c>
      <c r="C556" s="3" t="s">
        <v>133</v>
      </c>
      <c r="D556" s="4">
        <f>HYPERLINK("https://cao.dolgi.msk.ru/account/1060008594/", 1060008594)</f>
        <v>1060008594</v>
      </c>
      <c r="E556" s="3">
        <v>8079.47</v>
      </c>
    </row>
    <row r="557" spans="1:5" x14ac:dyDescent="0.25">
      <c r="A557" s="3" t="s">
        <v>5</v>
      </c>
      <c r="B557" s="3" t="s">
        <v>497</v>
      </c>
      <c r="C557" s="3" t="s">
        <v>12</v>
      </c>
      <c r="D557" s="4">
        <f>HYPERLINK("https://cao.dolgi.msk.ru/account/1060008762/", 1060008762)</f>
        <v>1060008762</v>
      </c>
      <c r="E557" s="3">
        <v>23740.2</v>
      </c>
    </row>
    <row r="558" spans="1:5" x14ac:dyDescent="0.25">
      <c r="A558" s="3" t="s">
        <v>5</v>
      </c>
      <c r="B558" s="3" t="s">
        <v>497</v>
      </c>
      <c r="C558" s="3" t="s">
        <v>44</v>
      </c>
      <c r="D558" s="4">
        <f>HYPERLINK("https://cao.dolgi.msk.ru/account/1060009159/", 1060009159)</f>
        <v>1060009159</v>
      </c>
      <c r="E558" s="3">
        <v>26222.29</v>
      </c>
    </row>
    <row r="559" spans="1:5" x14ac:dyDescent="0.25">
      <c r="A559" s="3" t="s">
        <v>5</v>
      </c>
      <c r="B559" s="3" t="s">
        <v>497</v>
      </c>
      <c r="C559" s="3" t="s">
        <v>80</v>
      </c>
      <c r="D559" s="4">
        <f>HYPERLINK("https://cao.dolgi.msk.ru/account/1060009511/", 1060009511)</f>
        <v>1060009511</v>
      </c>
      <c r="E559" s="3">
        <v>2973.72</v>
      </c>
    </row>
    <row r="560" spans="1:5" x14ac:dyDescent="0.25">
      <c r="A560" s="3" t="s">
        <v>5</v>
      </c>
      <c r="B560" s="3" t="s">
        <v>497</v>
      </c>
      <c r="C560" s="3" t="s">
        <v>84</v>
      </c>
      <c r="D560" s="4">
        <f>HYPERLINK("https://cao.dolgi.msk.ru/account/1060009562/", 1060009562)</f>
        <v>1060009562</v>
      </c>
      <c r="E560" s="3">
        <v>6675.65</v>
      </c>
    </row>
    <row r="561" spans="1:5" x14ac:dyDescent="0.25">
      <c r="A561" s="3" t="s">
        <v>5</v>
      </c>
      <c r="B561" s="3" t="s">
        <v>497</v>
      </c>
      <c r="C561" s="3" t="s">
        <v>97</v>
      </c>
      <c r="D561" s="4">
        <f>HYPERLINK("https://cao.dolgi.msk.ru/account/1060009722/", 1060009722)</f>
        <v>1060009722</v>
      </c>
      <c r="E561" s="3">
        <v>35097.800000000003</v>
      </c>
    </row>
    <row r="562" spans="1:5" x14ac:dyDescent="0.25">
      <c r="A562" s="3" t="s">
        <v>5</v>
      </c>
      <c r="B562" s="3" t="s">
        <v>497</v>
      </c>
      <c r="C562" s="3" t="s">
        <v>147</v>
      </c>
      <c r="D562" s="4">
        <f>HYPERLINK("https://cao.dolgi.msk.ru/account/1060009845/", 1060009845)</f>
        <v>1060009845</v>
      </c>
      <c r="E562" s="3">
        <v>6840.56</v>
      </c>
    </row>
    <row r="563" spans="1:5" x14ac:dyDescent="0.25">
      <c r="A563" s="3" t="s">
        <v>5</v>
      </c>
      <c r="B563" s="3" t="s">
        <v>497</v>
      </c>
      <c r="C563" s="3" t="s">
        <v>148</v>
      </c>
      <c r="D563" s="4">
        <f>HYPERLINK("https://cao.dolgi.msk.ru/account/1060009853/", 1060009853)</f>
        <v>1060009853</v>
      </c>
      <c r="E563" s="3">
        <v>14945.32</v>
      </c>
    </row>
    <row r="564" spans="1:5" x14ac:dyDescent="0.25">
      <c r="A564" s="3" t="s">
        <v>5</v>
      </c>
      <c r="B564" s="3" t="s">
        <v>497</v>
      </c>
      <c r="C564" s="3" t="s">
        <v>151</v>
      </c>
      <c r="D564" s="4">
        <f>HYPERLINK("https://cao.dolgi.msk.ru/account/1060868658/", 1060868658)</f>
        <v>1060868658</v>
      </c>
      <c r="E564" s="3">
        <v>19121.18</v>
      </c>
    </row>
    <row r="565" spans="1:5" x14ac:dyDescent="0.25">
      <c r="A565" s="3" t="s">
        <v>5</v>
      </c>
      <c r="B565" s="3" t="s">
        <v>497</v>
      </c>
      <c r="C565" s="3" t="s">
        <v>161</v>
      </c>
      <c r="D565" s="4">
        <f>HYPERLINK("https://cao.dolgi.msk.ru/account/1060010141/", 1060010141)</f>
        <v>1060010141</v>
      </c>
      <c r="E565" s="3">
        <v>15776.19</v>
      </c>
    </row>
    <row r="566" spans="1:5" x14ac:dyDescent="0.25">
      <c r="A566" s="3" t="s">
        <v>5</v>
      </c>
      <c r="B566" s="3" t="s">
        <v>497</v>
      </c>
      <c r="C566" s="3" t="s">
        <v>173</v>
      </c>
      <c r="D566" s="4">
        <f>HYPERLINK("https://cao.dolgi.msk.ru/account/1060010299/", 1060010299)</f>
        <v>1060010299</v>
      </c>
      <c r="E566" s="3">
        <v>20526.669999999998</v>
      </c>
    </row>
    <row r="567" spans="1:5" x14ac:dyDescent="0.25">
      <c r="A567" s="3" t="s">
        <v>5</v>
      </c>
      <c r="B567" s="3" t="s">
        <v>498</v>
      </c>
      <c r="C567" s="3" t="s">
        <v>130</v>
      </c>
      <c r="D567" s="4">
        <f>HYPERLINK("https://cao.dolgi.msk.ru/account/1060568049/", 1060568049)</f>
        <v>1060568049</v>
      </c>
      <c r="E567" s="3">
        <v>277082.33</v>
      </c>
    </row>
    <row r="568" spans="1:5" x14ac:dyDescent="0.25">
      <c r="A568" s="3" t="s">
        <v>5</v>
      </c>
      <c r="B568" s="3" t="s">
        <v>498</v>
      </c>
      <c r="C568" s="3" t="s">
        <v>130</v>
      </c>
      <c r="D568" s="4">
        <f>HYPERLINK("https://cao.dolgi.msk.ru/account/1060568057/", 1060568057)</f>
        <v>1060568057</v>
      </c>
      <c r="E568" s="3">
        <v>52751.5</v>
      </c>
    </row>
    <row r="569" spans="1:5" x14ac:dyDescent="0.25">
      <c r="A569" s="3" t="s">
        <v>5</v>
      </c>
      <c r="B569" s="3" t="s">
        <v>498</v>
      </c>
      <c r="C569" s="3" t="s">
        <v>131</v>
      </c>
      <c r="D569" s="4">
        <f>HYPERLINK("https://cao.dolgi.msk.ru/account/1060568065/", 1060568065)</f>
        <v>1060568065</v>
      </c>
      <c r="E569" s="3">
        <v>9420.5300000000007</v>
      </c>
    </row>
    <row r="570" spans="1:5" x14ac:dyDescent="0.25">
      <c r="A570" s="3" t="s">
        <v>5</v>
      </c>
      <c r="B570" s="3" t="s">
        <v>499</v>
      </c>
      <c r="C570" s="3" t="s">
        <v>169</v>
      </c>
      <c r="D570" s="4">
        <f>HYPERLINK("https://cao.dolgi.msk.ru/account/1060890505/", 1060890505)</f>
        <v>1060890505</v>
      </c>
      <c r="E570" s="3">
        <v>5194.66</v>
      </c>
    </row>
    <row r="571" spans="1:5" x14ac:dyDescent="0.25">
      <c r="A571" s="3" t="s">
        <v>5</v>
      </c>
      <c r="B571" s="3" t="s">
        <v>499</v>
      </c>
      <c r="C571" s="3" t="s">
        <v>176</v>
      </c>
      <c r="D571" s="4">
        <f>HYPERLINK("https://cao.dolgi.msk.ru/account/1060054742/", 1060054742)</f>
        <v>1060054742</v>
      </c>
      <c r="E571" s="3">
        <v>147265.46</v>
      </c>
    </row>
    <row r="572" spans="1:5" x14ac:dyDescent="0.25">
      <c r="A572" s="3" t="s">
        <v>5</v>
      </c>
      <c r="B572" s="3" t="s">
        <v>499</v>
      </c>
      <c r="C572" s="3" t="s">
        <v>179</v>
      </c>
      <c r="D572" s="4">
        <f>HYPERLINK("https://cao.dolgi.msk.ru/account/1060054785/", 1060054785)</f>
        <v>1060054785</v>
      </c>
      <c r="E572" s="3">
        <v>40583.769999999997</v>
      </c>
    </row>
    <row r="573" spans="1:5" x14ac:dyDescent="0.25">
      <c r="A573" s="3" t="s">
        <v>5</v>
      </c>
      <c r="B573" s="3" t="s">
        <v>499</v>
      </c>
      <c r="C573" s="3" t="s">
        <v>190</v>
      </c>
      <c r="D573" s="4">
        <f>HYPERLINK("https://cao.dolgi.msk.ru/account/1060054929/", 1060054929)</f>
        <v>1060054929</v>
      </c>
      <c r="E573" s="3">
        <v>4207.43</v>
      </c>
    </row>
    <row r="574" spans="1:5" x14ac:dyDescent="0.25">
      <c r="A574" s="3" t="s">
        <v>5</v>
      </c>
      <c r="B574" s="3" t="s">
        <v>499</v>
      </c>
      <c r="C574" s="3" t="s">
        <v>200</v>
      </c>
      <c r="D574" s="4">
        <f>HYPERLINK("https://cao.dolgi.msk.ru/account/1060055032/", 1060055032)</f>
        <v>1060055032</v>
      </c>
      <c r="E574" s="3">
        <v>7534.44</v>
      </c>
    </row>
    <row r="575" spans="1:5" x14ac:dyDescent="0.25">
      <c r="A575" s="3" t="s">
        <v>5</v>
      </c>
      <c r="B575" s="3" t="s">
        <v>499</v>
      </c>
      <c r="C575" s="3" t="s">
        <v>200</v>
      </c>
      <c r="D575" s="4">
        <f>HYPERLINK("https://cao.dolgi.msk.ru/account/1060783427/", 1060783427)</f>
        <v>1060783427</v>
      </c>
      <c r="E575" s="3">
        <v>11588.85</v>
      </c>
    </row>
    <row r="576" spans="1:5" x14ac:dyDescent="0.25">
      <c r="A576" s="3" t="s">
        <v>5</v>
      </c>
      <c r="B576" s="3" t="s">
        <v>500</v>
      </c>
      <c r="C576" s="3" t="s">
        <v>501</v>
      </c>
      <c r="D576" s="4">
        <f>HYPERLINK("https://cao.dolgi.msk.ru/account/1060080633/", 1060080633)</f>
        <v>1060080633</v>
      </c>
      <c r="E576" s="3">
        <v>15082.49</v>
      </c>
    </row>
    <row r="577" spans="1:5" x14ac:dyDescent="0.25">
      <c r="A577" s="3" t="s">
        <v>5</v>
      </c>
      <c r="B577" s="3" t="s">
        <v>500</v>
      </c>
      <c r="C577" s="3" t="s">
        <v>8</v>
      </c>
      <c r="D577" s="4">
        <f>HYPERLINK("https://cao.dolgi.msk.ru/account/1060065089/", 1060065089)</f>
        <v>1060065089</v>
      </c>
      <c r="E577" s="3">
        <v>6861.42</v>
      </c>
    </row>
    <row r="578" spans="1:5" x14ac:dyDescent="0.25">
      <c r="A578" s="3" t="s">
        <v>5</v>
      </c>
      <c r="B578" s="3" t="s">
        <v>500</v>
      </c>
      <c r="C578" s="3" t="s">
        <v>20</v>
      </c>
      <c r="D578" s="4">
        <f>HYPERLINK("https://cao.dolgi.msk.ru/account/1060065441/", 1060065441)</f>
        <v>1060065441</v>
      </c>
      <c r="E578" s="3">
        <v>19823.41</v>
      </c>
    </row>
    <row r="579" spans="1:5" x14ac:dyDescent="0.25">
      <c r="A579" s="3" t="s">
        <v>5</v>
      </c>
      <c r="B579" s="3" t="s">
        <v>500</v>
      </c>
      <c r="C579" s="3" t="s">
        <v>52</v>
      </c>
      <c r="D579" s="4">
        <f>HYPERLINK("https://cao.dolgi.msk.ru/account/1060065847/", 1060065847)</f>
        <v>1060065847</v>
      </c>
      <c r="E579" s="3">
        <v>11986.45</v>
      </c>
    </row>
    <row r="580" spans="1:5" x14ac:dyDescent="0.25">
      <c r="A580" s="3" t="s">
        <v>5</v>
      </c>
      <c r="B580" s="3" t="s">
        <v>500</v>
      </c>
      <c r="C580" s="3" t="s">
        <v>77</v>
      </c>
      <c r="D580" s="4">
        <f>HYPERLINK("https://cao.dolgi.msk.ru/account/1060066081/", 1060066081)</f>
        <v>1060066081</v>
      </c>
      <c r="E580" s="3">
        <v>32556</v>
      </c>
    </row>
    <row r="581" spans="1:5" x14ac:dyDescent="0.25">
      <c r="A581" s="3" t="s">
        <v>5</v>
      </c>
      <c r="B581" s="3" t="s">
        <v>500</v>
      </c>
      <c r="C581" s="3" t="s">
        <v>94</v>
      </c>
      <c r="D581" s="4">
        <f>HYPERLINK("https://cao.dolgi.msk.ru/account/1060066292/", 1060066292)</f>
        <v>1060066292</v>
      </c>
      <c r="E581" s="3">
        <v>21543.33</v>
      </c>
    </row>
    <row r="582" spans="1:5" x14ac:dyDescent="0.25">
      <c r="A582" s="3" t="s">
        <v>5</v>
      </c>
      <c r="B582" s="3" t="s">
        <v>500</v>
      </c>
      <c r="C582" s="3" t="s">
        <v>101</v>
      </c>
      <c r="D582" s="4">
        <f>HYPERLINK("https://cao.dolgi.msk.ru/account/1060066372/", 1060066372)</f>
        <v>1060066372</v>
      </c>
      <c r="E582" s="3">
        <v>88181.24</v>
      </c>
    </row>
    <row r="583" spans="1:5" x14ac:dyDescent="0.25">
      <c r="A583" s="3" t="s">
        <v>5</v>
      </c>
      <c r="B583" s="3" t="s">
        <v>500</v>
      </c>
      <c r="C583" s="3" t="s">
        <v>145</v>
      </c>
      <c r="D583" s="4">
        <f>HYPERLINK("https://cao.dolgi.msk.ru/account/1060066428/", 1060066428)</f>
        <v>1060066428</v>
      </c>
      <c r="E583" s="3">
        <v>20019.88</v>
      </c>
    </row>
    <row r="584" spans="1:5" x14ac:dyDescent="0.25">
      <c r="A584" s="3" t="s">
        <v>5</v>
      </c>
      <c r="B584" s="3" t="s">
        <v>500</v>
      </c>
      <c r="C584" s="3" t="s">
        <v>104</v>
      </c>
      <c r="D584" s="4">
        <f>HYPERLINK("https://cao.dolgi.msk.ru/account/1060066495/", 1060066495)</f>
        <v>1060066495</v>
      </c>
      <c r="E584" s="3">
        <v>1498.22</v>
      </c>
    </row>
    <row r="585" spans="1:5" x14ac:dyDescent="0.25">
      <c r="A585" s="3" t="s">
        <v>5</v>
      </c>
      <c r="B585" s="3" t="s">
        <v>500</v>
      </c>
      <c r="C585" s="3" t="s">
        <v>110</v>
      </c>
      <c r="D585" s="4">
        <f>HYPERLINK("https://cao.dolgi.msk.ru/account/1060066559/", 1060066559)</f>
        <v>1060066559</v>
      </c>
      <c r="E585" s="3">
        <v>15252.12</v>
      </c>
    </row>
    <row r="586" spans="1:5" x14ac:dyDescent="0.25">
      <c r="A586" s="3" t="s">
        <v>5</v>
      </c>
      <c r="B586" s="3" t="s">
        <v>500</v>
      </c>
      <c r="C586" s="3" t="s">
        <v>113</v>
      </c>
      <c r="D586" s="4">
        <f>HYPERLINK("https://cao.dolgi.msk.ru/account/1060066591/", 1060066591)</f>
        <v>1060066591</v>
      </c>
      <c r="E586" s="3">
        <v>9135.85</v>
      </c>
    </row>
    <row r="587" spans="1:5" x14ac:dyDescent="0.25">
      <c r="A587" s="3" t="s">
        <v>5</v>
      </c>
      <c r="B587" s="3" t="s">
        <v>502</v>
      </c>
      <c r="C587" s="3" t="s">
        <v>12</v>
      </c>
      <c r="D587" s="4">
        <f>HYPERLINK("https://cao.dolgi.msk.ru/account/1060067949/", 1060067949)</f>
        <v>1060067949</v>
      </c>
      <c r="E587" s="3">
        <v>13815.7</v>
      </c>
    </row>
    <row r="588" spans="1:5" x14ac:dyDescent="0.25">
      <c r="A588" s="3" t="s">
        <v>5</v>
      </c>
      <c r="B588" s="3" t="s">
        <v>503</v>
      </c>
      <c r="C588" s="3" t="s">
        <v>28</v>
      </c>
      <c r="D588" s="4">
        <f>HYPERLINK("https://cao.dolgi.msk.ru/account/1060049177/", 1060049177)</f>
        <v>1060049177</v>
      </c>
      <c r="E588" s="3">
        <v>16671.46</v>
      </c>
    </row>
    <row r="589" spans="1:5" x14ac:dyDescent="0.25">
      <c r="A589" s="3" t="s">
        <v>5</v>
      </c>
      <c r="B589" s="3" t="s">
        <v>503</v>
      </c>
      <c r="C589" s="3" t="s">
        <v>37</v>
      </c>
      <c r="D589" s="4">
        <f>HYPERLINK("https://cao.dolgi.msk.ru/account/1060049273/", 1060049273)</f>
        <v>1060049273</v>
      </c>
      <c r="E589" s="3">
        <v>35342.39</v>
      </c>
    </row>
    <row r="590" spans="1:5" x14ac:dyDescent="0.25">
      <c r="A590" s="3" t="s">
        <v>5</v>
      </c>
      <c r="B590" s="3" t="s">
        <v>503</v>
      </c>
      <c r="C590" s="3" t="s">
        <v>48</v>
      </c>
      <c r="D590" s="4">
        <f>HYPERLINK("https://cao.dolgi.msk.ru/account/1060049417/", 1060049417)</f>
        <v>1060049417</v>
      </c>
      <c r="E590" s="3">
        <v>20600.34</v>
      </c>
    </row>
    <row r="591" spans="1:5" x14ac:dyDescent="0.25">
      <c r="A591" s="3" t="s">
        <v>5</v>
      </c>
      <c r="B591" s="3" t="s">
        <v>503</v>
      </c>
      <c r="C591" s="3" t="s">
        <v>53</v>
      </c>
      <c r="D591" s="4">
        <f>HYPERLINK("https://cao.dolgi.msk.ru/account/1060049468/", 1060049468)</f>
        <v>1060049468</v>
      </c>
      <c r="E591" s="3">
        <v>25102.89</v>
      </c>
    </row>
    <row r="592" spans="1:5" x14ac:dyDescent="0.25">
      <c r="A592" s="3" t="s">
        <v>5</v>
      </c>
      <c r="B592" s="3" t="s">
        <v>503</v>
      </c>
      <c r="C592" s="3" t="s">
        <v>58</v>
      </c>
      <c r="D592" s="4">
        <f>HYPERLINK("https://cao.dolgi.msk.ru/account/1060049513/", 1060049513)</f>
        <v>1060049513</v>
      </c>
      <c r="E592" s="3">
        <v>12000.8</v>
      </c>
    </row>
    <row r="593" spans="1:5" x14ac:dyDescent="0.25">
      <c r="A593" s="3" t="s">
        <v>5</v>
      </c>
      <c r="B593" s="3" t="s">
        <v>503</v>
      </c>
      <c r="C593" s="3" t="s">
        <v>82</v>
      </c>
      <c r="D593" s="4">
        <f>HYPERLINK("https://cao.dolgi.msk.ru/account/1060049724/", 1060049724)</f>
        <v>1060049724</v>
      </c>
      <c r="E593" s="3">
        <v>14345.69</v>
      </c>
    </row>
    <row r="594" spans="1:5" x14ac:dyDescent="0.25">
      <c r="A594" s="3" t="s">
        <v>5</v>
      </c>
      <c r="B594" s="3" t="s">
        <v>503</v>
      </c>
      <c r="C594" s="3" t="s">
        <v>103</v>
      </c>
      <c r="D594" s="4">
        <f>HYPERLINK("https://cao.dolgi.msk.ru/account/1060049978/", 1060049978)</f>
        <v>1060049978</v>
      </c>
      <c r="E594" s="3">
        <v>7340.11</v>
      </c>
    </row>
    <row r="595" spans="1:5" x14ac:dyDescent="0.25">
      <c r="A595" s="3" t="s">
        <v>5</v>
      </c>
      <c r="B595" s="3" t="s">
        <v>503</v>
      </c>
      <c r="C595" s="3" t="s">
        <v>108</v>
      </c>
      <c r="D595" s="4">
        <f>HYPERLINK("https://cao.dolgi.msk.ru/account/1060050063/", 1060050063)</f>
        <v>1060050063</v>
      </c>
      <c r="E595" s="3">
        <v>20196.34</v>
      </c>
    </row>
    <row r="596" spans="1:5" x14ac:dyDescent="0.25">
      <c r="A596" s="3" t="s">
        <v>5</v>
      </c>
      <c r="B596" s="3" t="s">
        <v>503</v>
      </c>
      <c r="C596" s="3" t="s">
        <v>154</v>
      </c>
      <c r="D596" s="4">
        <f>HYPERLINK("https://cao.dolgi.msk.ru/account/1060050231/", 1060050231)</f>
        <v>1060050231</v>
      </c>
      <c r="E596" s="3">
        <v>367514.01</v>
      </c>
    </row>
    <row r="597" spans="1:5" x14ac:dyDescent="0.25">
      <c r="A597" s="3" t="s">
        <v>5</v>
      </c>
      <c r="B597" s="3" t="s">
        <v>503</v>
      </c>
      <c r="C597" s="3" t="s">
        <v>167</v>
      </c>
      <c r="D597" s="4">
        <f>HYPERLINK("https://cao.dolgi.msk.ru/account/1060050389/", 1060050389)</f>
        <v>1060050389</v>
      </c>
      <c r="E597" s="3">
        <v>187450.27</v>
      </c>
    </row>
    <row r="598" spans="1:5" x14ac:dyDescent="0.25">
      <c r="A598" s="3" t="s">
        <v>5</v>
      </c>
      <c r="B598" s="3" t="s">
        <v>503</v>
      </c>
      <c r="C598" s="3" t="s">
        <v>177</v>
      </c>
      <c r="D598" s="4">
        <f>HYPERLINK("https://cao.dolgi.msk.ru/account/1060050506/", 1060050506)</f>
        <v>1060050506</v>
      </c>
      <c r="E598" s="3">
        <v>6082.01</v>
      </c>
    </row>
    <row r="599" spans="1:5" x14ac:dyDescent="0.25">
      <c r="A599" s="3" t="s">
        <v>5</v>
      </c>
      <c r="B599" s="3" t="s">
        <v>503</v>
      </c>
      <c r="C599" s="3" t="s">
        <v>181</v>
      </c>
      <c r="D599" s="4">
        <f>HYPERLINK("https://cao.dolgi.msk.ru/account/1060050557/", 1060050557)</f>
        <v>1060050557</v>
      </c>
      <c r="E599" s="3">
        <v>9024.31</v>
      </c>
    </row>
    <row r="600" spans="1:5" x14ac:dyDescent="0.25">
      <c r="A600" s="3" t="s">
        <v>5</v>
      </c>
      <c r="B600" s="3" t="s">
        <v>503</v>
      </c>
      <c r="C600" s="3" t="s">
        <v>182</v>
      </c>
      <c r="D600" s="4">
        <f>HYPERLINK("https://cao.dolgi.msk.ru/account/1060050565/", 1060050565)</f>
        <v>1060050565</v>
      </c>
      <c r="E600" s="3">
        <v>19830.3</v>
      </c>
    </row>
    <row r="601" spans="1:5" x14ac:dyDescent="0.25">
      <c r="A601" s="3" t="s">
        <v>5</v>
      </c>
      <c r="B601" s="3" t="s">
        <v>503</v>
      </c>
      <c r="C601" s="3" t="s">
        <v>187</v>
      </c>
      <c r="D601" s="4">
        <f>HYPERLINK("https://cao.dolgi.msk.ru/account/1060050637/", 1060050637)</f>
        <v>1060050637</v>
      </c>
      <c r="E601" s="3">
        <v>57059.51</v>
      </c>
    </row>
    <row r="602" spans="1:5" x14ac:dyDescent="0.25">
      <c r="A602" s="3" t="s">
        <v>5</v>
      </c>
      <c r="B602" s="3" t="s">
        <v>503</v>
      </c>
      <c r="C602" s="3" t="s">
        <v>187</v>
      </c>
      <c r="D602" s="4">
        <f>HYPERLINK("https://cao.dolgi.msk.ru/account/1069123716/", 1069123716)</f>
        <v>1069123716</v>
      </c>
      <c r="E602" s="3">
        <v>7461.93</v>
      </c>
    </row>
    <row r="603" spans="1:5" x14ac:dyDescent="0.25">
      <c r="A603" s="3" t="s">
        <v>5</v>
      </c>
      <c r="B603" s="3" t="s">
        <v>503</v>
      </c>
      <c r="C603" s="3" t="s">
        <v>194</v>
      </c>
      <c r="D603" s="4">
        <f>HYPERLINK("https://cao.dolgi.msk.ru/account/1060050717/", 1060050717)</f>
        <v>1060050717</v>
      </c>
      <c r="E603" s="3">
        <v>5502.49</v>
      </c>
    </row>
    <row r="604" spans="1:5" x14ac:dyDescent="0.25">
      <c r="A604" s="3" t="s">
        <v>5</v>
      </c>
      <c r="B604" s="3" t="s">
        <v>503</v>
      </c>
      <c r="C604" s="3" t="s">
        <v>197</v>
      </c>
      <c r="D604" s="4">
        <f>HYPERLINK("https://cao.dolgi.msk.ru/account/1060050741/", 1060050741)</f>
        <v>1060050741</v>
      </c>
      <c r="E604" s="3">
        <v>22339.51</v>
      </c>
    </row>
    <row r="605" spans="1:5" x14ac:dyDescent="0.25">
      <c r="A605" s="3" t="s">
        <v>5</v>
      </c>
      <c r="B605" s="3" t="s">
        <v>504</v>
      </c>
      <c r="C605" s="3" t="s">
        <v>142</v>
      </c>
      <c r="D605" s="4">
        <f>HYPERLINK("https://cao.dolgi.msk.ru/account/1060046582/", 1060046582)</f>
        <v>1060046582</v>
      </c>
      <c r="E605" s="3">
        <v>13632.89</v>
      </c>
    </row>
    <row r="606" spans="1:5" x14ac:dyDescent="0.25">
      <c r="A606" s="3" t="s">
        <v>5</v>
      </c>
      <c r="B606" s="3" t="s">
        <v>504</v>
      </c>
      <c r="C606" s="3" t="s">
        <v>142</v>
      </c>
      <c r="D606" s="4">
        <f>HYPERLINK("https://cao.dolgi.msk.ru/account/1069133084/", 1069133084)</f>
        <v>1069133084</v>
      </c>
      <c r="E606" s="3">
        <v>44285.72</v>
      </c>
    </row>
    <row r="607" spans="1:5" x14ac:dyDescent="0.25">
      <c r="A607" s="3" t="s">
        <v>5</v>
      </c>
      <c r="B607" s="3" t="s">
        <v>504</v>
      </c>
      <c r="C607" s="3" t="s">
        <v>50</v>
      </c>
      <c r="D607" s="4">
        <f>HYPERLINK("https://cao.dolgi.msk.ru/account/1060047171/", 1060047171)</f>
        <v>1060047171</v>
      </c>
      <c r="E607" s="3">
        <v>17565.2</v>
      </c>
    </row>
    <row r="608" spans="1:5" x14ac:dyDescent="0.25">
      <c r="A608" s="3" t="s">
        <v>5</v>
      </c>
      <c r="B608" s="3" t="s">
        <v>504</v>
      </c>
      <c r="C608" s="3" t="s">
        <v>59</v>
      </c>
      <c r="D608" s="4">
        <f>HYPERLINK("https://cao.dolgi.msk.ru/account/1060047286/", 1060047286)</f>
        <v>1060047286</v>
      </c>
      <c r="E608" s="3">
        <v>12776.61</v>
      </c>
    </row>
    <row r="609" spans="1:5" x14ac:dyDescent="0.25">
      <c r="A609" s="3" t="s">
        <v>5</v>
      </c>
      <c r="B609" s="3" t="s">
        <v>504</v>
      </c>
      <c r="C609" s="3" t="s">
        <v>64</v>
      </c>
      <c r="D609" s="4">
        <f>HYPERLINK("https://cao.dolgi.msk.ru/account/1060047331/", 1060047331)</f>
        <v>1060047331</v>
      </c>
      <c r="E609" s="3">
        <v>33685.730000000003</v>
      </c>
    </row>
    <row r="610" spans="1:5" x14ac:dyDescent="0.25">
      <c r="A610" s="3" t="s">
        <v>5</v>
      </c>
      <c r="B610" s="3" t="s">
        <v>504</v>
      </c>
      <c r="C610" s="3" t="s">
        <v>151</v>
      </c>
      <c r="D610" s="4">
        <f>HYPERLINK("https://cao.dolgi.msk.ru/account/1060048043/", 1060048043)</f>
        <v>1060048043</v>
      </c>
      <c r="E610" s="3">
        <v>20402.650000000001</v>
      </c>
    </row>
    <row r="611" spans="1:5" x14ac:dyDescent="0.25">
      <c r="A611" s="3" t="s">
        <v>5</v>
      </c>
      <c r="B611" s="3" t="s">
        <v>504</v>
      </c>
      <c r="C611" s="3" t="s">
        <v>171</v>
      </c>
      <c r="D611" s="4">
        <f>HYPERLINK("https://cao.dolgi.msk.ru/account/1060048334/", 1060048334)</f>
        <v>1060048334</v>
      </c>
      <c r="E611" s="3">
        <v>12392.36</v>
      </c>
    </row>
    <row r="612" spans="1:5" x14ac:dyDescent="0.25">
      <c r="A612" s="3" t="s">
        <v>5</v>
      </c>
      <c r="B612" s="3" t="s">
        <v>505</v>
      </c>
      <c r="C612" s="3" t="s">
        <v>51</v>
      </c>
      <c r="D612" s="4">
        <f>HYPERLINK("https://cao.dolgi.msk.ru/account/1060052042/", 1060052042)</f>
        <v>1060052042</v>
      </c>
      <c r="E612" s="3">
        <v>6026.64</v>
      </c>
    </row>
    <row r="613" spans="1:5" x14ac:dyDescent="0.25">
      <c r="A613" s="3" t="s">
        <v>5</v>
      </c>
      <c r="B613" s="3" t="s">
        <v>505</v>
      </c>
      <c r="C613" s="3" t="s">
        <v>132</v>
      </c>
      <c r="D613" s="4">
        <f>HYPERLINK("https://cao.dolgi.msk.ru/account/1060052157/", 1060052157)</f>
        <v>1060052157</v>
      </c>
      <c r="E613" s="3">
        <v>19999.75</v>
      </c>
    </row>
    <row r="614" spans="1:5" x14ac:dyDescent="0.25">
      <c r="A614" s="3" t="s">
        <v>5</v>
      </c>
      <c r="B614" s="3" t="s">
        <v>505</v>
      </c>
      <c r="C614" s="3" t="s">
        <v>11</v>
      </c>
      <c r="D614" s="4">
        <f>HYPERLINK("https://cao.dolgi.msk.ru/account/1060052368/", 1060052368)</f>
        <v>1060052368</v>
      </c>
      <c r="E614" s="3">
        <v>64031.75</v>
      </c>
    </row>
    <row r="615" spans="1:5" x14ac:dyDescent="0.25">
      <c r="A615" s="3" t="s">
        <v>5</v>
      </c>
      <c r="B615" s="3" t="s">
        <v>505</v>
      </c>
      <c r="C615" s="3" t="s">
        <v>38</v>
      </c>
      <c r="D615" s="4">
        <f>HYPERLINK("https://cao.dolgi.msk.ru/account/1060052683/", 1060052683)</f>
        <v>1060052683</v>
      </c>
      <c r="E615" s="3">
        <v>18127.32</v>
      </c>
    </row>
    <row r="616" spans="1:5" x14ac:dyDescent="0.25">
      <c r="A616" s="3" t="s">
        <v>5</v>
      </c>
      <c r="B616" s="3" t="s">
        <v>506</v>
      </c>
      <c r="C616" s="3" t="s">
        <v>89</v>
      </c>
      <c r="D616" s="4">
        <f>HYPERLINK("https://cao.dolgi.msk.ru/account/1060068263/", 1060068263)</f>
        <v>1060068263</v>
      </c>
      <c r="E616" s="3">
        <v>4719.1000000000004</v>
      </c>
    </row>
    <row r="617" spans="1:5" x14ac:dyDescent="0.25">
      <c r="A617" s="3" t="s">
        <v>5</v>
      </c>
      <c r="B617" s="3" t="s">
        <v>506</v>
      </c>
      <c r="C617" s="3" t="s">
        <v>135</v>
      </c>
      <c r="D617" s="4">
        <f>HYPERLINK("https://cao.dolgi.msk.ru/account/1060068335/", 1060068335)</f>
        <v>1060068335</v>
      </c>
      <c r="E617" s="3">
        <v>6652.65</v>
      </c>
    </row>
    <row r="618" spans="1:5" x14ac:dyDescent="0.25">
      <c r="A618" s="3" t="s">
        <v>5</v>
      </c>
      <c r="B618" s="3" t="s">
        <v>506</v>
      </c>
      <c r="C618" s="3" t="s">
        <v>136</v>
      </c>
      <c r="D618" s="4">
        <f>HYPERLINK("https://cao.dolgi.msk.ru/account/1060068343/", 1060068343)</f>
        <v>1060068343</v>
      </c>
      <c r="E618" s="3">
        <v>10724.72</v>
      </c>
    </row>
    <row r="619" spans="1:5" x14ac:dyDescent="0.25">
      <c r="A619" s="3" t="s">
        <v>5</v>
      </c>
      <c r="B619" s="3" t="s">
        <v>506</v>
      </c>
      <c r="C619" s="3" t="s">
        <v>140</v>
      </c>
      <c r="D619" s="4">
        <f>HYPERLINK("https://cao.dolgi.msk.ru/account/1060068386/", 1060068386)</f>
        <v>1060068386</v>
      </c>
      <c r="E619" s="3">
        <v>10727.53</v>
      </c>
    </row>
    <row r="620" spans="1:5" x14ac:dyDescent="0.25">
      <c r="A620" s="3" t="s">
        <v>5</v>
      </c>
      <c r="B620" s="3" t="s">
        <v>506</v>
      </c>
      <c r="C620" s="3" t="s">
        <v>19</v>
      </c>
      <c r="D620" s="4">
        <f>HYPERLINK("https://cao.dolgi.msk.ru/account/1060068554/", 1060068554)</f>
        <v>1060068554</v>
      </c>
      <c r="E620" s="3">
        <v>44815.5</v>
      </c>
    </row>
    <row r="621" spans="1:5" x14ac:dyDescent="0.25">
      <c r="A621" s="3" t="s">
        <v>5</v>
      </c>
      <c r="B621" s="3" t="s">
        <v>506</v>
      </c>
      <c r="C621" s="3" t="s">
        <v>29</v>
      </c>
      <c r="D621" s="4">
        <f>HYPERLINK("https://cao.dolgi.msk.ru/account/1060068685/", 1060068685)</f>
        <v>1060068685</v>
      </c>
      <c r="E621" s="3">
        <v>12796.2</v>
      </c>
    </row>
    <row r="622" spans="1:5" x14ac:dyDescent="0.25">
      <c r="A622" s="3" t="s">
        <v>5</v>
      </c>
      <c r="B622" s="3" t="s">
        <v>506</v>
      </c>
      <c r="C622" s="3" t="s">
        <v>41</v>
      </c>
      <c r="D622" s="4">
        <f>HYPERLINK("https://cao.dolgi.msk.ru/account/1060068829/", 1060068829)</f>
        <v>1060068829</v>
      </c>
      <c r="E622" s="3">
        <v>16480.490000000002</v>
      </c>
    </row>
    <row r="623" spans="1:5" x14ac:dyDescent="0.25">
      <c r="A623" s="3" t="s">
        <v>5</v>
      </c>
      <c r="B623" s="3" t="s">
        <v>506</v>
      </c>
      <c r="C623" s="3" t="s">
        <v>46</v>
      </c>
      <c r="D623" s="4">
        <f>HYPERLINK("https://cao.dolgi.msk.ru/account/1060068888/", 1060068888)</f>
        <v>1060068888</v>
      </c>
      <c r="E623" s="3">
        <v>8283.67</v>
      </c>
    </row>
    <row r="624" spans="1:5" x14ac:dyDescent="0.25">
      <c r="A624" s="3" t="s">
        <v>5</v>
      </c>
      <c r="B624" s="3" t="s">
        <v>506</v>
      </c>
      <c r="C624" s="3" t="s">
        <v>49</v>
      </c>
      <c r="D624" s="4">
        <f>HYPERLINK("https://cao.dolgi.msk.ru/account/1060068917/", 1060068917)</f>
        <v>1060068917</v>
      </c>
      <c r="E624" s="3">
        <v>213363.24</v>
      </c>
    </row>
    <row r="625" spans="1:5" x14ac:dyDescent="0.25">
      <c r="A625" s="3" t="s">
        <v>5</v>
      </c>
      <c r="B625" s="3" t="s">
        <v>506</v>
      </c>
      <c r="C625" s="3" t="s">
        <v>55</v>
      </c>
      <c r="D625" s="4">
        <f>HYPERLINK("https://cao.dolgi.msk.ru/account/1060053504/", 1060053504)</f>
        <v>1060053504</v>
      </c>
      <c r="E625" s="3">
        <v>9787.2999999999993</v>
      </c>
    </row>
    <row r="626" spans="1:5" x14ac:dyDescent="0.25">
      <c r="A626" s="3" t="s">
        <v>5</v>
      </c>
      <c r="B626" s="3" t="s">
        <v>506</v>
      </c>
      <c r="C626" s="3" t="s">
        <v>56</v>
      </c>
      <c r="D626" s="4">
        <f>HYPERLINK("https://cao.dolgi.msk.ru/account/1060053512/", 1060053512)</f>
        <v>1060053512</v>
      </c>
      <c r="E626" s="3">
        <v>13066.37</v>
      </c>
    </row>
    <row r="627" spans="1:5" x14ac:dyDescent="0.25">
      <c r="A627" s="3" t="s">
        <v>5</v>
      </c>
      <c r="B627" s="3" t="s">
        <v>506</v>
      </c>
      <c r="C627" s="3" t="s">
        <v>59</v>
      </c>
      <c r="D627" s="4">
        <f>HYPERLINK("https://cao.dolgi.msk.ru/account/1060053555/", 1060053555)</f>
        <v>1060053555</v>
      </c>
      <c r="E627" s="3">
        <v>270976.33</v>
      </c>
    </row>
    <row r="628" spans="1:5" x14ac:dyDescent="0.25">
      <c r="A628" s="3" t="s">
        <v>5</v>
      </c>
      <c r="B628" s="3" t="s">
        <v>507</v>
      </c>
      <c r="C628" s="3" t="s">
        <v>98</v>
      </c>
      <c r="D628" s="4">
        <f>HYPERLINK("https://cao.dolgi.msk.ru/account/1060053985/", 1060053985)</f>
        <v>1060053985</v>
      </c>
      <c r="E628" s="3">
        <v>173995.36</v>
      </c>
    </row>
    <row r="629" spans="1:5" x14ac:dyDescent="0.25">
      <c r="A629" s="3" t="s">
        <v>5</v>
      </c>
      <c r="B629" s="3" t="s">
        <v>507</v>
      </c>
      <c r="C629" s="3" t="s">
        <v>101</v>
      </c>
      <c r="D629" s="4">
        <f>HYPERLINK("https://cao.dolgi.msk.ru/account/1060054013/", 1060054013)</f>
        <v>1060054013</v>
      </c>
      <c r="E629" s="3">
        <v>24939.91</v>
      </c>
    </row>
    <row r="630" spans="1:5" x14ac:dyDescent="0.25">
      <c r="A630" s="3" t="s">
        <v>5</v>
      </c>
      <c r="B630" s="3" t="s">
        <v>507</v>
      </c>
      <c r="C630" s="3" t="s">
        <v>146</v>
      </c>
      <c r="D630" s="4">
        <f>HYPERLINK("https://cao.dolgi.msk.ru/account/1060054064/", 1060054064)</f>
        <v>1060054064</v>
      </c>
      <c r="E630" s="3">
        <v>58075.54</v>
      </c>
    </row>
    <row r="631" spans="1:5" x14ac:dyDescent="0.25">
      <c r="A631" s="3" t="s">
        <v>5</v>
      </c>
      <c r="B631" s="3" t="s">
        <v>507</v>
      </c>
      <c r="C631" s="3" t="s">
        <v>148</v>
      </c>
      <c r="D631" s="4">
        <f>HYPERLINK("https://cao.dolgi.msk.ru/account/1060054099/", 1060054099)</f>
        <v>1060054099</v>
      </c>
      <c r="E631" s="3">
        <v>265951.23</v>
      </c>
    </row>
    <row r="632" spans="1:5" x14ac:dyDescent="0.25">
      <c r="A632" s="3" t="s">
        <v>5</v>
      </c>
      <c r="B632" s="3" t="s">
        <v>507</v>
      </c>
      <c r="C632" s="3" t="s">
        <v>158</v>
      </c>
      <c r="D632" s="4">
        <f>HYPERLINK("https://cao.dolgi.msk.ru/account/1060054355/", 1060054355)</f>
        <v>1060054355</v>
      </c>
      <c r="E632" s="3">
        <v>9109.16</v>
      </c>
    </row>
    <row r="633" spans="1:5" x14ac:dyDescent="0.25">
      <c r="A633" s="3" t="s">
        <v>5</v>
      </c>
      <c r="B633" s="3" t="s">
        <v>507</v>
      </c>
      <c r="C633" s="3" t="s">
        <v>174</v>
      </c>
      <c r="D633" s="4">
        <f>HYPERLINK("https://cao.dolgi.msk.ru/account/1060054558/", 1060054558)</f>
        <v>1060054558</v>
      </c>
      <c r="E633" s="3">
        <v>6054.34</v>
      </c>
    </row>
    <row r="634" spans="1:5" x14ac:dyDescent="0.25">
      <c r="A634" s="3" t="s">
        <v>5</v>
      </c>
      <c r="B634" s="3" t="s">
        <v>507</v>
      </c>
      <c r="C634" s="3" t="s">
        <v>179</v>
      </c>
      <c r="D634" s="4">
        <f>HYPERLINK("https://cao.dolgi.msk.ru/account/1060054611/", 1060054611)</f>
        <v>1060054611</v>
      </c>
      <c r="E634" s="3">
        <v>5615.87</v>
      </c>
    </row>
    <row r="635" spans="1:5" x14ac:dyDescent="0.25">
      <c r="A635" s="3" t="s">
        <v>5</v>
      </c>
      <c r="B635" s="3" t="s">
        <v>508</v>
      </c>
      <c r="C635" s="3" t="s">
        <v>8</v>
      </c>
      <c r="D635" s="4">
        <f>HYPERLINK("https://cao.dolgi.msk.ru/account/1060050864/", 1060050864)</f>
        <v>1060050864</v>
      </c>
      <c r="E635" s="3">
        <v>9381.94</v>
      </c>
    </row>
    <row r="636" spans="1:5" x14ac:dyDescent="0.25">
      <c r="A636" s="3" t="s">
        <v>5</v>
      </c>
      <c r="B636" s="3" t="s">
        <v>508</v>
      </c>
      <c r="C636" s="3" t="s">
        <v>89</v>
      </c>
      <c r="D636" s="4">
        <f>HYPERLINK("https://cao.dolgi.msk.ru/account/1060050936/", 1060050936)</f>
        <v>1060050936</v>
      </c>
      <c r="E636" s="3">
        <v>51415.91</v>
      </c>
    </row>
    <row r="637" spans="1:5" x14ac:dyDescent="0.25">
      <c r="A637" s="3" t="s">
        <v>5</v>
      </c>
      <c r="B637" s="3" t="s">
        <v>508</v>
      </c>
      <c r="C637" s="3" t="s">
        <v>134</v>
      </c>
      <c r="D637" s="4">
        <f>HYPERLINK("https://cao.dolgi.msk.ru/account/1060902908/", 1060902908)</f>
        <v>1060902908</v>
      </c>
      <c r="E637" s="3">
        <v>13222.95</v>
      </c>
    </row>
    <row r="638" spans="1:5" x14ac:dyDescent="0.25">
      <c r="A638" s="3" t="s">
        <v>5</v>
      </c>
      <c r="B638" s="3" t="s">
        <v>508</v>
      </c>
      <c r="C638" s="3" t="s">
        <v>135</v>
      </c>
      <c r="D638" s="4">
        <f>HYPERLINK("https://cao.dolgi.msk.ru/account/1060050995/", 1060050995)</f>
        <v>1060050995</v>
      </c>
      <c r="E638" s="3">
        <v>4740.17</v>
      </c>
    </row>
    <row r="639" spans="1:5" x14ac:dyDescent="0.25">
      <c r="A639" s="3" t="s">
        <v>5</v>
      </c>
      <c r="B639" s="3" t="s">
        <v>508</v>
      </c>
      <c r="C639" s="3" t="s">
        <v>140</v>
      </c>
      <c r="D639" s="4">
        <f>HYPERLINK("https://cao.dolgi.msk.ru/account/1060051058/", 1060051058)</f>
        <v>1060051058</v>
      </c>
      <c r="E639" s="3">
        <v>7875.41</v>
      </c>
    </row>
    <row r="640" spans="1:5" x14ac:dyDescent="0.25">
      <c r="A640" s="3" t="s">
        <v>5</v>
      </c>
      <c r="B640" s="3" t="s">
        <v>508</v>
      </c>
      <c r="C640" s="3" t="s">
        <v>12</v>
      </c>
      <c r="D640" s="4">
        <f>HYPERLINK("https://cao.dolgi.msk.ru/account/1060051146/", 1060051146)</f>
        <v>1060051146</v>
      </c>
      <c r="E640" s="3">
        <v>16039.58</v>
      </c>
    </row>
    <row r="641" spans="1:5" x14ac:dyDescent="0.25">
      <c r="A641" s="3" t="s">
        <v>5</v>
      </c>
      <c r="B641" s="3" t="s">
        <v>508</v>
      </c>
      <c r="C641" s="3" t="s">
        <v>18</v>
      </c>
      <c r="D641" s="4">
        <f>HYPERLINK("https://cao.dolgi.msk.ru/account/1060051226/", 1060051226)</f>
        <v>1060051226</v>
      </c>
      <c r="E641" s="3">
        <v>16812.55</v>
      </c>
    </row>
    <row r="642" spans="1:5" x14ac:dyDescent="0.25">
      <c r="A642" s="3" t="s">
        <v>5</v>
      </c>
      <c r="B642" s="3" t="s">
        <v>508</v>
      </c>
      <c r="C642" s="3" t="s">
        <v>21</v>
      </c>
      <c r="D642" s="4">
        <f>HYPERLINK("https://cao.dolgi.msk.ru/account/1060051269/", 1060051269)</f>
        <v>1060051269</v>
      </c>
      <c r="E642" s="3">
        <v>317002.49</v>
      </c>
    </row>
    <row r="643" spans="1:5" x14ac:dyDescent="0.25">
      <c r="A643" s="3" t="s">
        <v>5</v>
      </c>
      <c r="B643" s="3" t="s">
        <v>508</v>
      </c>
      <c r="C643" s="3" t="s">
        <v>49</v>
      </c>
      <c r="D643" s="4">
        <f>HYPERLINK("https://cao.dolgi.msk.ru/account/1060051584/", 1060051584)</f>
        <v>1060051584</v>
      </c>
      <c r="E643" s="3">
        <v>24917.02</v>
      </c>
    </row>
    <row r="644" spans="1:5" x14ac:dyDescent="0.25">
      <c r="A644" s="3" t="s">
        <v>5</v>
      </c>
      <c r="B644" s="3" t="s">
        <v>508</v>
      </c>
      <c r="C644" s="3" t="s">
        <v>57</v>
      </c>
      <c r="D644" s="4">
        <f>HYPERLINK("https://cao.dolgi.msk.ru/account/1060051664/", 1060051664)</f>
        <v>1060051664</v>
      </c>
      <c r="E644" s="3">
        <v>18792.52</v>
      </c>
    </row>
    <row r="645" spans="1:5" x14ac:dyDescent="0.25">
      <c r="A645" s="3" t="s">
        <v>5</v>
      </c>
      <c r="B645" s="3" t="s">
        <v>508</v>
      </c>
      <c r="C645" s="3" t="s">
        <v>82</v>
      </c>
      <c r="D645" s="4">
        <f>HYPERLINK("https://cao.dolgi.msk.ru/account/1060051912/", 1060051912)</f>
        <v>1060051912</v>
      </c>
      <c r="E645" s="3">
        <v>70264.179999999993</v>
      </c>
    </row>
    <row r="646" spans="1:5" x14ac:dyDescent="0.25">
      <c r="A646" s="3" t="s">
        <v>5</v>
      </c>
      <c r="B646" s="3" t="s">
        <v>509</v>
      </c>
      <c r="C646" s="3" t="s">
        <v>135</v>
      </c>
      <c r="D646" s="4">
        <f>HYPERLINK("https://cao.dolgi.msk.ru/account/1060868674/", 1060868674)</f>
        <v>1060868674</v>
      </c>
      <c r="E646" s="3">
        <v>7840.17</v>
      </c>
    </row>
    <row r="647" spans="1:5" x14ac:dyDescent="0.25">
      <c r="A647" s="3" t="s">
        <v>5</v>
      </c>
      <c r="B647" s="3" t="s">
        <v>509</v>
      </c>
      <c r="C647" s="3" t="s">
        <v>14</v>
      </c>
      <c r="D647" s="4">
        <f>HYPERLINK("https://cao.dolgi.msk.ru/account/1060010715/", 1060010715)</f>
        <v>1060010715</v>
      </c>
      <c r="E647" s="3">
        <v>10859.95</v>
      </c>
    </row>
    <row r="648" spans="1:5" x14ac:dyDescent="0.25">
      <c r="A648" s="3" t="s">
        <v>5</v>
      </c>
      <c r="B648" s="3" t="s">
        <v>509</v>
      </c>
      <c r="C648" s="3" t="s">
        <v>28</v>
      </c>
      <c r="D648" s="4">
        <f>HYPERLINK("https://cao.dolgi.msk.ru/account/1060010889/", 1060010889)</f>
        <v>1060010889</v>
      </c>
      <c r="E648" s="3">
        <v>13242.38</v>
      </c>
    </row>
    <row r="649" spans="1:5" x14ac:dyDescent="0.25">
      <c r="A649" s="3" t="s">
        <v>5</v>
      </c>
      <c r="B649" s="3" t="s">
        <v>509</v>
      </c>
      <c r="C649" s="3" t="s">
        <v>31</v>
      </c>
      <c r="D649" s="4">
        <f>HYPERLINK("https://cao.dolgi.msk.ru/account/1060010918/", 1060010918)</f>
        <v>1060010918</v>
      </c>
      <c r="E649" s="3">
        <v>33304.06</v>
      </c>
    </row>
    <row r="650" spans="1:5" x14ac:dyDescent="0.25">
      <c r="A650" s="3" t="s">
        <v>5</v>
      </c>
      <c r="B650" s="3" t="s">
        <v>509</v>
      </c>
      <c r="C650" s="3" t="s">
        <v>34</v>
      </c>
      <c r="D650" s="4">
        <f>HYPERLINK("https://cao.dolgi.msk.ru/account/1060010942/", 1060010942)</f>
        <v>1060010942</v>
      </c>
      <c r="E650" s="3">
        <v>27192.34</v>
      </c>
    </row>
    <row r="651" spans="1:5" x14ac:dyDescent="0.25">
      <c r="A651" s="3" t="s">
        <v>5</v>
      </c>
      <c r="B651" s="3" t="s">
        <v>509</v>
      </c>
      <c r="C651" s="3" t="s">
        <v>85</v>
      </c>
      <c r="D651" s="4">
        <f>HYPERLINK("https://cao.dolgi.msk.ru/account/1060011451/", 1060011451)</f>
        <v>1060011451</v>
      </c>
      <c r="E651" s="3">
        <v>40346.879999999997</v>
      </c>
    </row>
    <row r="652" spans="1:5" x14ac:dyDescent="0.25">
      <c r="A652" s="3" t="s">
        <v>5</v>
      </c>
      <c r="B652" s="3" t="s">
        <v>509</v>
      </c>
      <c r="C652" s="3" t="s">
        <v>90</v>
      </c>
      <c r="D652" s="4">
        <f>HYPERLINK("https://cao.dolgi.msk.ru/account/1060011515/", 1060011515)</f>
        <v>1060011515</v>
      </c>
      <c r="E652" s="3">
        <v>82578.100000000006</v>
      </c>
    </row>
    <row r="653" spans="1:5" x14ac:dyDescent="0.25">
      <c r="A653" s="3" t="s">
        <v>5</v>
      </c>
      <c r="B653" s="3" t="s">
        <v>510</v>
      </c>
      <c r="C653" s="3" t="s">
        <v>105</v>
      </c>
      <c r="D653" s="4">
        <f>HYPERLINK("https://cao.dolgi.msk.ru/account/1060011574/", 1060011574)</f>
        <v>1060011574</v>
      </c>
      <c r="E653" s="3">
        <v>12777.48</v>
      </c>
    </row>
    <row r="654" spans="1:5" x14ac:dyDescent="0.25">
      <c r="A654" s="3" t="s">
        <v>5</v>
      </c>
      <c r="B654" s="3" t="s">
        <v>510</v>
      </c>
      <c r="C654" s="3" t="s">
        <v>132</v>
      </c>
      <c r="D654" s="4">
        <f>HYPERLINK("https://cao.dolgi.msk.ru/account/1060011582/", 1060011582)</f>
        <v>1060011582</v>
      </c>
      <c r="E654" s="3">
        <v>1920.31</v>
      </c>
    </row>
    <row r="655" spans="1:5" x14ac:dyDescent="0.25">
      <c r="A655" s="3" t="s">
        <v>5</v>
      </c>
      <c r="B655" s="3" t="s">
        <v>510</v>
      </c>
      <c r="C655" s="3" t="s">
        <v>132</v>
      </c>
      <c r="D655" s="4">
        <f>HYPERLINK("https://cao.dolgi.msk.ru/account/1060011603/", 1060011603)</f>
        <v>1060011603</v>
      </c>
      <c r="E655" s="3">
        <v>2695.68</v>
      </c>
    </row>
    <row r="656" spans="1:5" x14ac:dyDescent="0.25">
      <c r="A656" s="3" t="s">
        <v>5</v>
      </c>
      <c r="B656" s="3" t="s">
        <v>510</v>
      </c>
      <c r="C656" s="3" t="s">
        <v>7</v>
      </c>
      <c r="D656" s="4">
        <f>HYPERLINK("https://cao.dolgi.msk.ru/account/1060011742/", 1060011742)</f>
        <v>1060011742</v>
      </c>
      <c r="E656" s="3">
        <v>6856.54</v>
      </c>
    </row>
    <row r="657" spans="1:5" x14ac:dyDescent="0.25">
      <c r="A657" s="3" t="s">
        <v>5</v>
      </c>
      <c r="B657" s="3" t="s">
        <v>511</v>
      </c>
      <c r="C657" s="3" t="s">
        <v>105</v>
      </c>
      <c r="D657" s="4">
        <f>HYPERLINK("https://cao.dolgi.msk.ru/account/1060890468/", 1060890468)</f>
        <v>1060890468</v>
      </c>
      <c r="E657" s="3">
        <v>21227.7</v>
      </c>
    </row>
    <row r="658" spans="1:5" x14ac:dyDescent="0.25">
      <c r="A658" s="3" t="s">
        <v>5</v>
      </c>
      <c r="B658" s="3" t="s">
        <v>511</v>
      </c>
      <c r="C658" s="3" t="s">
        <v>136</v>
      </c>
      <c r="D658" s="4">
        <f>HYPERLINK("https://cao.dolgi.msk.ru/account/1060011996/", 1060011996)</f>
        <v>1060011996</v>
      </c>
      <c r="E658" s="3">
        <v>7338.3</v>
      </c>
    </row>
    <row r="659" spans="1:5" x14ac:dyDescent="0.25">
      <c r="A659" s="3" t="s">
        <v>5</v>
      </c>
      <c r="B659" s="3" t="s">
        <v>512</v>
      </c>
      <c r="C659" s="3" t="s">
        <v>131</v>
      </c>
      <c r="D659" s="4">
        <f>HYPERLINK("https://cao.dolgi.msk.ru/account/1060876439/", 1060876439)</f>
        <v>1060876439</v>
      </c>
      <c r="E659" s="3">
        <v>2820.55</v>
      </c>
    </row>
    <row r="660" spans="1:5" x14ac:dyDescent="0.25">
      <c r="A660" s="3" t="s">
        <v>5</v>
      </c>
      <c r="B660" s="3" t="s">
        <v>512</v>
      </c>
      <c r="C660" s="3" t="s">
        <v>9</v>
      </c>
      <c r="D660" s="4">
        <f>HYPERLINK("https://cao.dolgi.msk.ru/account/1060610788/", 1060610788)</f>
        <v>1060610788</v>
      </c>
      <c r="E660" s="3">
        <v>4588.25</v>
      </c>
    </row>
    <row r="661" spans="1:5" x14ac:dyDescent="0.25">
      <c r="A661" s="3" t="s">
        <v>5</v>
      </c>
      <c r="B661" s="3" t="s">
        <v>512</v>
      </c>
      <c r="C661" s="3" t="s">
        <v>134</v>
      </c>
      <c r="D661" s="4">
        <f>HYPERLINK("https://cao.dolgi.msk.ru/account/1060610833/", 1060610833)</f>
        <v>1060610833</v>
      </c>
      <c r="E661" s="3">
        <v>52299.22</v>
      </c>
    </row>
    <row r="662" spans="1:5" x14ac:dyDescent="0.25">
      <c r="A662" s="3" t="s">
        <v>5</v>
      </c>
      <c r="B662" s="3" t="s">
        <v>512</v>
      </c>
      <c r="C662" s="3" t="s">
        <v>135</v>
      </c>
      <c r="D662" s="4">
        <f>HYPERLINK("https://cao.dolgi.msk.ru/account/1060610841/", 1060610841)</f>
        <v>1060610841</v>
      </c>
      <c r="E662" s="3">
        <v>5187.1400000000003</v>
      </c>
    </row>
    <row r="663" spans="1:5" x14ac:dyDescent="0.25">
      <c r="A663" s="3" t="s">
        <v>5</v>
      </c>
      <c r="B663" s="3" t="s">
        <v>512</v>
      </c>
      <c r="C663" s="3" t="s">
        <v>139</v>
      </c>
      <c r="D663" s="4">
        <f>HYPERLINK("https://cao.dolgi.msk.ru/account/1060610964/", 1060610964)</f>
        <v>1060610964</v>
      </c>
      <c r="E663" s="3">
        <v>3668.52</v>
      </c>
    </row>
    <row r="664" spans="1:5" x14ac:dyDescent="0.25">
      <c r="A664" s="3" t="s">
        <v>5</v>
      </c>
      <c r="B664" s="3" t="s">
        <v>512</v>
      </c>
      <c r="C664" s="3" t="s">
        <v>141</v>
      </c>
      <c r="D664" s="4">
        <f>HYPERLINK("https://cao.dolgi.msk.ru/account/1060611027/", 1060611027)</f>
        <v>1060611027</v>
      </c>
      <c r="E664" s="3">
        <v>6051.56</v>
      </c>
    </row>
    <row r="665" spans="1:5" x14ac:dyDescent="0.25">
      <c r="A665" s="3" t="s">
        <v>5</v>
      </c>
      <c r="B665" s="3" t="s">
        <v>512</v>
      </c>
      <c r="C665" s="3" t="s">
        <v>143</v>
      </c>
      <c r="D665" s="4">
        <f>HYPERLINK("https://cao.dolgi.msk.ru/account/1060611078/", 1060611078)</f>
        <v>1060611078</v>
      </c>
      <c r="E665" s="3">
        <v>13711.98</v>
      </c>
    </row>
    <row r="666" spans="1:5" x14ac:dyDescent="0.25">
      <c r="A666" s="3" t="s">
        <v>5</v>
      </c>
      <c r="B666" s="3" t="s">
        <v>513</v>
      </c>
      <c r="C666" s="3" t="s">
        <v>51</v>
      </c>
      <c r="D666" s="4">
        <f>HYPERLINK("https://cao.dolgi.msk.ru/account/1060601793/", 1060601793)</f>
        <v>1060601793</v>
      </c>
      <c r="E666" s="3">
        <v>45665.440000000002</v>
      </c>
    </row>
    <row r="667" spans="1:5" x14ac:dyDescent="0.25">
      <c r="A667" s="3" t="s">
        <v>5</v>
      </c>
      <c r="B667" s="3" t="s">
        <v>513</v>
      </c>
      <c r="C667" s="3" t="s">
        <v>130</v>
      </c>
      <c r="D667" s="4">
        <f>HYPERLINK("https://cao.dolgi.msk.ru/account/1060601822/", 1060601822)</f>
        <v>1060601822</v>
      </c>
      <c r="E667" s="3">
        <v>19018.810000000001</v>
      </c>
    </row>
    <row r="668" spans="1:5" x14ac:dyDescent="0.25">
      <c r="A668" s="3" t="s">
        <v>5</v>
      </c>
      <c r="B668" s="3" t="s">
        <v>513</v>
      </c>
      <c r="C668" s="3" t="s">
        <v>133</v>
      </c>
      <c r="D668" s="4">
        <f>HYPERLINK("https://cao.dolgi.msk.ru/account/1060601929/", 1060601929)</f>
        <v>1060601929</v>
      </c>
      <c r="E668" s="3">
        <v>25942.639999999999</v>
      </c>
    </row>
    <row r="669" spans="1:5" x14ac:dyDescent="0.25">
      <c r="A669" s="3" t="s">
        <v>5</v>
      </c>
      <c r="B669" s="3" t="s">
        <v>513</v>
      </c>
      <c r="C669" s="3" t="s">
        <v>134</v>
      </c>
      <c r="D669" s="4">
        <f>HYPERLINK("https://cao.dolgi.msk.ru/account/1060601937/", 1060601937)</f>
        <v>1060601937</v>
      </c>
      <c r="E669" s="3">
        <v>15181.79</v>
      </c>
    </row>
    <row r="670" spans="1:5" x14ac:dyDescent="0.25">
      <c r="A670" s="3" t="s">
        <v>5</v>
      </c>
      <c r="B670" s="3" t="s">
        <v>514</v>
      </c>
      <c r="C670" s="3" t="s">
        <v>51</v>
      </c>
      <c r="D670" s="4">
        <f>HYPERLINK("https://cao.dolgi.msk.ru/account/1069124081/", 1069124081)</f>
        <v>1069124081</v>
      </c>
      <c r="E670" s="3">
        <v>4050.53</v>
      </c>
    </row>
    <row r="671" spans="1:5" x14ac:dyDescent="0.25">
      <c r="A671" s="3" t="s">
        <v>5</v>
      </c>
      <c r="B671" s="3" t="s">
        <v>514</v>
      </c>
      <c r="C671" s="3" t="s">
        <v>8</v>
      </c>
      <c r="D671" s="4">
        <f>HYPERLINK("https://cao.dolgi.msk.ru/account/1069120152/", 1069120152)</f>
        <v>1069120152</v>
      </c>
      <c r="E671" s="3">
        <v>33255.07</v>
      </c>
    </row>
    <row r="672" spans="1:5" x14ac:dyDescent="0.25">
      <c r="A672" s="3" t="s">
        <v>5</v>
      </c>
      <c r="B672" s="3" t="s">
        <v>514</v>
      </c>
      <c r="C672" s="3" t="s">
        <v>14</v>
      </c>
      <c r="D672" s="4">
        <f>HYPERLINK("https://cao.dolgi.msk.ru/account/1069120048/", 1069120048)</f>
        <v>1069120048</v>
      </c>
      <c r="E672" s="3">
        <v>3425.03</v>
      </c>
    </row>
    <row r="673" spans="1:5" x14ac:dyDescent="0.25">
      <c r="A673" s="3" t="s">
        <v>5</v>
      </c>
      <c r="B673" s="3" t="s">
        <v>515</v>
      </c>
      <c r="C673" s="3" t="s">
        <v>23</v>
      </c>
      <c r="D673" s="4">
        <f>HYPERLINK("https://cao.dolgi.msk.ru/account/1060256424/", 1060256424)</f>
        <v>1060256424</v>
      </c>
      <c r="E673" s="3">
        <v>58931.8</v>
      </c>
    </row>
    <row r="674" spans="1:5" x14ac:dyDescent="0.25">
      <c r="A674" s="3" t="s">
        <v>5</v>
      </c>
      <c r="B674" s="3" t="s">
        <v>515</v>
      </c>
      <c r="C674" s="3" t="s">
        <v>42</v>
      </c>
      <c r="D674" s="4">
        <f>HYPERLINK("https://cao.dolgi.msk.ru/account/1060256643/", 1060256643)</f>
        <v>1060256643</v>
      </c>
      <c r="E674" s="3">
        <v>216136.3</v>
      </c>
    </row>
    <row r="675" spans="1:5" x14ac:dyDescent="0.25">
      <c r="A675" s="3" t="s">
        <v>5</v>
      </c>
      <c r="B675" s="3" t="s">
        <v>516</v>
      </c>
      <c r="C675" s="3" t="s">
        <v>132</v>
      </c>
      <c r="D675" s="4">
        <f>HYPERLINK("https://cao.dolgi.msk.ru/account/1060202311/", 1060202311)</f>
        <v>1060202311</v>
      </c>
      <c r="E675" s="3">
        <v>39571.949999999997</v>
      </c>
    </row>
    <row r="676" spans="1:5" x14ac:dyDescent="0.25">
      <c r="A676" s="3" t="s">
        <v>5</v>
      </c>
      <c r="B676" s="3" t="s">
        <v>516</v>
      </c>
      <c r="C676" s="3" t="s">
        <v>133</v>
      </c>
      <c r="D676" s="4">
        <f>HYPERLINK("https://cao.dolgi.msk.ru/account/1060202338/", 1060202338)</f>
        <v>1060202338</v>
      </c>
      <c r="E676" s="3">
        <v>10809.65</v>
      </c>
    </row>
    <row r="677" spans="1:5" x14ac:dyDescent="0.25">
      <c r="A677" s="3" t="s">
        <v>5</v>
      </c>
      <c r="B677" s="3" t="s">
        <v>516</v>
      </c>
      <c r="C677" s="3" t="s">
        <v>135</v>
      </c>
      <c r="D677" s="4">
        <f>HYPERLINK("https://cao.dolgi.msk.ru/account/1060202354/", 1060202354)</f>
        <v>1060202354</v>
      </c>
      <c r="E677" s="3">
        <v>60390.02</v>
      </c>
    </row>
    <row r="678" spans="1:5" x14ac:dyDescent="0.25">
      <c r="A678" s="3" t="s">
        <v>5</v>
      </c>
      <c r="B678" s="3" t="s">
        <v>516</v>
      </c>
      <c r="C678" s="3" t="s">
        <v>141</v>
      </c>
      <c r="D678" s="4">
        <f>HYPERLINK("https://cao.dolgi.msk.ru/account/1060202434/", 1060202434)</f>
        <v>1060202434</v>
      </c>
      <c r="E678" s="3">
        <v>93380.800000000003</v>
      </c>
    </row>
    <row r="679" spans="1:5" x14ac:dyDescent="0.25">
      <c r="A679" s="3" t="s">
        <v>5</v>
      </c>
      <c r="B679" s="3" t="s">
        <v>516</v>
      </c>
      <c r="C679" s="3" t="s">
        <v>14</v>
      </c>
      <c r="D679" s="4">
        <f>HYPERLINK("https://cao.dolgi.msk.ru/account/1060884252/", 1060884252)</f>
        <v>1060884252</v>
      </c>
      <c r="E679" s="3">
        <v>14490.81</v>
      </c>
    </row>
    <row r="680" spans="1:5" x14ac:dyDescent="0.25">
      <c r="A680" s="3" t="s">
        <v>5</v>
      </c>
      <c r="B680" s="3" t="s">
        <v>516</v>
      </c>
      <c r="C680" s="3" t="s">
        <v>15</v>
      </c>
      <c r="D680" s="4">
        <f>HYPERLINK("https://cao.dolgi.msk.ru/account/1060202549/", 1060202549)</f>
        <v>1060202549</v>
      </c>
      <c r="E680" s="3">
        <v>11910.54</v>
      </c>
    </row>
    <row r="681" spans="1:5" x14ac:dyDescent="0.25">
      <c r="A681" s="3" t="s">
        <v>5</v>
      </c>
      <c r="B681" s="3" t="s">
        <v>516</v>
      </c>
      <c r="C681" s="3" t="s">
        <v>18</v>
      </c>
      <c r="D681" s="4">
        <f>HYPERLINK("https://cao.dolgi.msk.ru/account/1060202573/", 1060202573)</f>
        <v>1060202573</v>
      </c>
      <c r="E681" s="3">
        <v>3921.12</v>
      </c>
    </row>
    <row r="682" spans="1:5" x14ac:dyDescent="0.25">
      <c r="A682" s="3" t="s">
        <v>5</v>
      </c>
      <c r="B682" s="3" t="s">
        <v>516</v>
      </c>
      <c r="C682" s="3" t="s">
        <v>34</v>
      </c>
      <c r="D682" s="4">
        <f>HYPERLINK("https://cao.dolgi.msk.ru/account/1060202768/", 1060202768)</f>
        <v>1060202768</v>
      </c>
      <c r="E682" s="3">
        <v>5653.66</v>
      </c>
    </row>
    <row r="683" spans="1:5" x14ac:dyDescent="0.25">
      <c r="A683" s="3" t="s">
        <v>5</v>
      </c>
      <c r="B683" s="3" t="s">
        <v>516</v>
      </c>
      <c r="C683" s="3" t="s">
        <v>46</v>
      </c>
      <c r="D683" s="4">
        <f>HYPERLINK("https://cao.dolgi.msk.ru/account/1060202901/", 1060202901)</f>
        <v>1060202901</v>
      </c>
      <c r="E683" s="3">
        <v>8499.81</v>
      </c>
    </row>
    <row r="684" spans="1:5" x14ac:dyDescent="0.25">
      <c r="A684" s="3" t="s">
        <v>5</v>
      </c>
      <c r="B684" s="3" t="s">
        <v>516</v>
      </c>
      <c r="C684" s="3" t="s">
        <v>50</v>
      </c>
      <c r="D684" s="4">
        <f>HYPERLINK("https://cao.dolgi.msk.ru/account/1060202952/", 1060202952)</f>
        <v>1060202952</v>
      </c>
      <c r="E684" s="3">
        <v>13652.37</v>
      </c>
    </row>
    <row r="685" spans="1:5" x14ac:dyDescent="0.25">
      <c r="A685" s="3" t="s">
        <v>5</v>
      </c>
      <c r="B685" s="3" t="s">
        <v>516</v>
      </c>
      <c r="C685" s="3" t="s">
        <v>56</v>
      </c>
      <c r="D685" s="4">
        <f>HYPERLINK("https://cao.dolgi.msk.ru/account/1060903134/", 1060903134)</f>
        <v>1060903134</v>
      </c>
      <c r="E685" s="3">
        <v>27794.1</v>
      </c>
    </row>
    <row r="686" spans="1:5" x14ac:dyDescent="0.25">
      <c r="A686" s="3" t="s">
        <v>5</v>
      </c>
      <c r="B686" s="3" t="s">
        <v>516</v>
      </c>
      <c r="C686" s="3" t="s">
        <v>65</v>
      </c>
      <c r="D686" s="4">
        <f>HYPERLINK("https://cao.dolgi.msk.ru/account/1060203111/", 1060203111)</f>
        <v>1060203111</v>
      </c>
      <c r="E686" s="3">
        <v>4831.3999999999996</v>
      </c>
    </row>
    <row r="687" spans="1:5" x14ac:dyDescent="0.25">
      <c r="A687" s="3" t="s">
        <v>5</v>
      </c>
      <c r="B687" s="3" t="s">
        <v>516</v>
      </c>
      <c r="C687" s="3" t="s">
        <v>79</v>
      </c>
      <c r="D687" s="4">
        <f>HYPERLINK("https://cao.dolgi.msk.ru/account/1060203234/", 1060203234)</f>
        <v>1060203234</v>
      </c>
      <c r="E687" s="3">
        <v>11496.11</v>
      </c>
    </row>
    <row r="688" spans="1:5" x14ac:dyDescent="0.25">
      <c r="A688" s="3" t="s">
        <v>5</v>
      </c>
      <c r="B688" s="3" t="s">
        <v>516</v>
      </c>
      <c r="C688" s="3" t="s">
        <v>90</v>
      </c>
      <c r="D688" s="4">
        <f>HYPERLINK("https://cao.dolgi.msk.ru/account/1060203365/", 1060203365)</f>
        <v>1060203365</v>
      </c>
      <c r="E688" s="3">
        <v>12762.62</v>
      </c>
    </row>
    <row r="689" spans="1:5" x14ac:dyDescent="0.25">
      <c r="A689" s="3" t="s">
        <v>5</v>
      </c>
      <c r="B689" s="3" t="s">
        <v>516</v>
      </c>
      <c r="C689" s="3" t="s">
        <v>92</v>
      </c>
      <c r="D689" s="4">
        <f>HYPERLINK("https://cao.dolgi.msk.ru/account/1060203381/", 1060203381)</f>
        <v>1060203381</v>
      </c>
      <c r="E689" s="3">
        <v>85562.84</v>
      </c>
    </row>
    <row r="690" spans="1:5" x14ac:dyDescent="0.25">
      <c r="A690" s="3" t="s">
        <v>5</v>
      </c>
      <c r="B690" s="3" t="s">
        <v>517</v>
      </c>
      <c r="C690" s="3" t="s">
        <v>134</v>
      </c>
      <c r="D690" s="4">
        <f>HYPERLINK("https://cao.dolgi.msk.ru/account/1060203891/", 1060203891)</f>
        <v>1060203891</v>
      </c>
      <c r="E690" s="3">
        <v>42587.34</v>
      </c>
    </row>
    <row r="691" spans="1:5" x14ac:dyDescent="0.25">
      <c r="A691" s="3" t="s">
        <v>5</v>
      </c>
      <c r="B691" s="3" t="s">
        <v>517</v>
      </c>
      <c r="C691" s="3" t="s">
        <v>11</v>
      </c>
      <c r="D691" s="4">
        <f>HYPERLINK("https://cao.dolgi.msk.ru/account/1060204042/", 1060204042)</f>
        <v>1060204042</v>
      </c>
      <c r="E691" s="3">
        <v>483132.49</v>
      </c>
    </row>
    <row r="692" spans="1:5" x14ac:dyDescent="0.25">
      <c r="A692" s="3" t="s">
        <v>5</v>
      </c>
      <c r="B692" s="3" t="s">
        <v>517</v>
      </c>
      <c r="C692" s="3" t="s">
        <v>61</v>
      </c>
      <c r="D692" s="4">
        <f>HYPERLINK("https://cao.dolgi.msk.ru/account/1060204616/", 1060204616)</f>
        <v>1060204616</v>
      </c>
      <c r="E692" s="3">
        <v>10566.77</v>
      </c>
    </row>
    <row r="693" spans="1:5" x14ac:dyDescent="0.25">
      <c r="A693" s="3" t="s">
        <v>5</v>
      </c>
      <c r="B693" s="3" t="s">
        <v>517</v>
      </c>
      <c r="C693" s="3" t="s">
        <v>98</v>
      </c>
      <c r="D693" s="4">
        <f>HYPERLINK("https://cao.dolgi.msk.ru/account/1060205029/", 1060205029)</f>
        <v>1060205029</v>
      </c>
      <c r="E693" s="3">
        <v>30065.9</v>
      </c>
    </row>
    <row r="694" spans="1:5" x14ac:dyDescent="0.25">
      <c r="A694" s="3" t="s">
        <v>5</v>
      </c>
      <c r="B694" s="3" t="s">
        <v>517</v>
      </c>
      <c r="C694" s="3" t="s">
        <v>147</v>
      </c>
      <c r="D694" s="4">
        <f>HYPERLINK("https://cao.dolgi.msk.ru/account/1060205117/", 1060205117)</f>
        <v>1060205117</v>
      </c>
      <c r="E694" s="3">
        <v>15065.23</v>
      </c>
    </row>
    <row r="695" spans="1:5" x14ac:dyDescent="0.25">
      <c r="A695" s="3" t="s">
        <v>5</v>
      </c>
      <c r="B695" s="3" t="s">
        <v>517</v>
      </c>
      <c r="C695" s="3" t="s">
        <v>165</v>
      </c>
      <c r="D695" s="4">
        <f>HYPERLINK("https://cao.dolgi.msk.ru/account/1060205475/", 1060205475)</f>
        <v>1060205475</v>
      </c>
      <c r="E695" s="3">
        <v>288038.7</v>
      </c>
    </row>
    <row r="696" spans="1:5" x14ac:dyDescent="0.25">
      <c r="A696" s="3" t="s">
        <v>5</v>
      </c>
      <c r="B696" s="3" t="s">
        <v>517</v>
      </c>
      <c r="C696" s="3" t="s">
        <v>181</v>
      </c>
      <c r="D696" s="4">
        <f>HYPERLINK("https://cao.dolgi.msk.ru/account/1060205678/", 1060205678)</f>
        <v>1060205678</v>
      </c>
      <c r="E696" s="3">
        <v>13080.85</v>
      </c>
    </row>
    <row r="697" spans="1:5" x14ac:dyDescent="0.25">
      <c r="A697" s="3" t="s">
        <v>5</v>
      </c>
      <c r="B697" s="3" t="s">
        <v>517</v>
      </c>
      <c r="C697" s="3" t="s">
        <v>209</v>
      </c>
      <c r="D697" s="4">
        <f>HYPERLINK("https://cao.dolgi.msk.ru/account/1060205977/", 1060205977)</f>
        <v>1060205977</v>
      </c>
      <c r="E697" s="3">
        <v>270367.59000000003</v>
      </c>
    </row>
    <row r="698" spans="1:5" x14ac:dyDescent="0.25">
      <c r="A698" s="3" t="s">
        <v>5</v>
      </c>
      <c r="B698" s="3" t="s">
        <v>518</v>
      </c>
      <c r="C698" s="3" t="s">
        <v>130</v>
      </c>
      <c r="D698" s="4">
        <f>HYPERLINK("https://cao.dolgi.msk.ru/account/1060259377/", 1060259377)</f>
        <v>1060259377</v>
      </c>
      <c r="E698" s="3">
        <v>196823.76</v>
      </c>
    </row>
    <row r="699" spans="1:5" x14ac:dyDescent="0.25">
      <c r="A699" s="3" t="s">
        <v>5</v>
      </c>
      <c r="B699" s="3" t="s">
        <v>518</v>
      </c>
      <c r="C699" s="3" t="s">
        <v>137</v>
      </c>
      <c r="D699" s="4">
        <f>HYPERLINK("https://cao.dolgi.msk.ru/account/1060259481/", 1060259481)</f>
        <v>1060259481</v>
      </c>
      <c r="E699" s="3">
        <v>42658.98</v>
      </c>
    </row>
    <row r="700" spans="1:5" x14ac:dyDescent="0.25">
      <c r="A700" s="3" t="s">
        <v>5</v>
      </c>
      <c r="B700" s="3" t="s">
        <v>518</v>
      </c>
      <c r="C700" s="3" t="s">
        <v>18</v>
      </c>
      <c r="D700" s="4">
        <f>HYPERLINK("https://cao.dolgi.msk.ru/account/1060259684/", 1060259684)</f>
        <v>1060259684</v>
      </c>
      <c r="E700" s="3">
        <v>15299.63</v>
      </c>
    </row>
    <row r="701" spans="1:5" x14ac:dyDescent="0.25">
      <c r="A701" s="3" t="s">
        <v>5</v>
      </c>
      <c r="B701" s="3" t="s">
        <v>518</v>
      </c>
      <c r="C701" s="3" t="s">
        <v>22</v>
      </c>
      <c r="D701" s="4">
        <f>HYPERLINK("https://cao.dolgi.msk.ru/account/1060259721/", 1060259721)</f>
        <v>1060259721</v>
      </c>
      <c r="E701" s="3">
        <v>12396.75</v>
      </c>
    </row>
    <row r="702" spans="1:5" x14ac:dyDescent="0.25">
      <c r="A702" s="3" t="s">
        <v>5</v>
      </c>
      <c r="B702" s="3" t="s">
        <v>518</v>
      </c>
      <c r="C702" s="3" t="s">
        <v>28</v>
      </c>
      <c r="D702" s="4">
        <f>HYPERLINK("https://cao.dolgi.msk.ru/account/1060259801/", 1060259801)</f>
        <v>1060259801</v>
      </c>
      <c r="E702" s="3">
        <v>441358.24</v>
      </c>
    </row>
    <row r="703" spans="1:5" x14ac:dyDescent="0.25">
      <c r="A703" s="3" t="s">
        <v>5</v>
      </c>
      <c r="B703" s="3" t="s">
        <v>518</v>
      </c>
      <c r="C703" s="3" t="s">
        <v>40</v>
      </c>
      <c r="D703" s="4">
        <f>HYPERLINK("https://cao.dolgi.msk.ru/account/1060259932/", 1060259932)</f>
        <v>1060259932</v>
      </c>
      <c r="E703" s="3">
        <v>529790.92000000004</v>
      </c>
    </row>
    <row r="704" spans="1:5" x14ac:dyDescent="0.25">
      <c r="A704" s="3" t="s">
        <v>5</v>
      </c>
      <c r="B704" s="3" t="s">
        <v>518</v>
      </c>
      <c r="C704" s="3" t="s">
        <v>55</v>
      </c>
      <c r="D704" s="4">
        <f>HYPERLINK("https://cao.dolgi.msk.ru/account/1060080836/", 1060080836)</f>
        <v>1060080836</v>
      </c>
      <c r="E704" s="3">
        <v>21837.43</v>
      </c>
    </row>
    <row r="705" spans="1:5" x14ac:dyDescent="0.25">
      <c r="A705" s="3" t="s">
        <v>5</v>
      </c>
      <c r="B705" s="3" t="s">
        <v>518</v>
      </c>
      <c r="C705" s="3" t="s">
        <v>56</v>
      </c>
      <c r="D705" s="4">
        <f>HYPERLINK("https://cao.dolgi.msk.ru/account/1060896122/", 1060896122)</f>
        <v>1060896122</v>
      </c>
      <c r="E705" s="3">
        <v>65153.07</v>
      </c>
    </row>
    <row r="706" spans="1:5" x14ac:dyDescent="0.25">
      <c r="A706" s="3" t="s">
        <v>5</v>
      </c>
      <c r="B706" s="3" t="s">
        <v>518</v>
      </c>
      <c r="C706" s="3" t="s">
        <v>58</v>
      </c>
      <c r="D706" s="4">
        <f>HYPERLINK("https://cao.dolgi.msk.ru/account/1060260132/", 1060260132)</f>
        <v>1060260132</v>
      </c>
      <c r="E706" s="3">
        <v>6469.03</v>
      </c>
    </row>
    <row r="707" spans="1:5" x14ac:dyDescent="0.25">
      <c r="A707" s="3" t="s">
        <v>5</v>
      </c>
      <c r="B707" s="3" t="s">
        <v>518</v>
      </c>
      <c r="C707" s="3" t="s">
        <v>92</v>
      </c>
      <c r="D707" s="4">
        <f>HYPERLINK("https://cao.dolgi.msk.ru/account/1060260482/", 1060260482)</f>
        <v>1060260482</v>
      </c>
      <c r="E707" s="3">
        <v>19646.86</v>
      </c>
    </row>
    <row r="708" spans="1:5" x14ac:dyDescent="0.25">
      <c r="A708" s="3" t="s">
        <v>5</v>
      </c>
      <c r="B708" s="3" t="s">
        <v>518</v>
      </c>
      <c r="C708" s="3" t="s">
        <v>95</v>
      </c>
      <c r="D708" s="4">
        <f>HYPERLINK("https://cao.dolgi.msk.ru/account/1060260538/", 1060260538)</f>
        <v>1060260538</v>
      </c>
      <c r="E708" s="3">
        <v>22400.94</v>
      </c>
    </row>
    <row r="709" spans="1:5" x14ac:dyDescent="0.25">
      <c r="A709" s="3" t="s">
        <v>5</v>
      </c>
      <c r="B709" s="3" t="s">
        <v>518</v>
      </c>
      <c r="C709" s="3" t="s">
        <v>149</v>
      </c>
      <c r="D709" s="4">
        <f>HYPERLINK("https://cao.dolgi.msk.ru/account/1060260853/", 1060260853)</f>
        <v>1060260853</v>
      </c>
      <c r="E709" s="3">
        <v>43691.32</v>
      </c>
    </row>
    <row r="710" spans="1:5" x14ac:dyDescent="0.25">
      <c r="A710" s="3" t="s">
        <v>5</v>
      </c>
      <c r="B710" s="3" t="s">
        <v>519</v>
      </c>
      <c r="C710" s="3" t="s">
        <v>130</v>
      </c>
      <c r="D710" s="4">
        <f>HYPERLINK("https://cao.dolgi.msk.ru/account/1060206152/", 1060206152)</f>
        <v>1060206152</v>
      </c>
      <c r="E710" s="3">
        <v>7422.38</v>
      </c>
    </row>
    <row r="711" spans="1:5" x14ac:dyDescent="0.25">
      <c r="A711" s="3" t="s">
        <v>5</v>
      </c>
      <c r="B711" s="3" t="s">
        <v>519</v>
      </c>
      <c r="C711" s="3" t="s">
        <v>142</v>
      </c>
      <c r="D711" s="4">
        <f>HYPERLINK("https://cao.dolgi.msk.ru/account/1060206347/", 1060206347)</f>
        <v>1060206347</v>
      </c>
      <c r="E711" s="3">
        <v>25887.27</v>
      </c>
    </row>
    <row r="712" spans="1:5" x14ac:dyDescent="0.25">
      <c r="A712" s="3" t="s">
        <v>5</v>
      </c>
      <c r="B712" s="3" t="s">
        <v>519</v>
      </c>
      <c r="C712" s="3" t="s">
        <v>143</v>
      </c>
      <c r="D712" s="4">
        <f>HYPERLINK("https://cao.dolgi.msk.ru/account/1060206355/", 1060206355)</f>
        <v>1060206355</v>
      </c>
      <c r="E712" s="3">
        <v>259712.43</v>
      </c>
    </row>
    <row r="713" spans="1:5" x14ac:dyDescent="0.25">
      <c r="A713" s="3" t="s">
        <v>5</v>
      </c>
      <c r="B713" s="3" t="s">
        <v>519</v>
      </c>
      <c r="C713" s="3" t="s">
        <v>36</v>
      </c>
      <c r="D713" s="4">
        <f>HYPERLINK("https://cao.dolgi.msk.ru/account/1060206726/", 1060206726)</f>
        <v>1060206726</v>
      </c>
      <c r="E713" s="3">
        <v>3976.5</v>
      </c>
    </row>
    <row r="714" spans="1:5" x14ac:dyDescent="0.25">
      <c r="A714" s="3" t="s">
        <v>5</v>
      </c>
      <c r="B714" s="3" t="s">
        <v>520</v>
      </c>
      <c r="C714" s="3" t="s">
        <v>30</v>
      </c>
      <c r="D714" s="4">
        <f>HYPERLINK("https://cao.dolgi.msk.ru/account/1060207091/", 1060207091)</f>
        <v>1060207091</v>
      </c>
      <c r="E714" s="3">
        <v>27988.400000000001</v>
      </c>
    </row>
    <row r="715" spans="1:5" x14ac:dyDescent="0.25">
      <c r="A715" s="3" t="s">
        <v>5</v>
      </c>
      <c r="B715" s="3" t="s">
        <v>520</v>
      </c>
      <c r="C715" s="3" t="s">
        <v>133</v>
      </c>
      <c r="D715" s="4">
        <f>HYPERLINK("https://cao.dolgi.msk.ru/account/1060207171/", 1060207171)</f>
        <v>1060207171</v>
      </c>
      <c r="E715" s="3">
        <v>84814.47</v>
      </c>
    </row>
    <row r="716" spans="1:5" x14ac:dyDescent="0.25">
      <c r="A716" s="3" t="s">
        <v>5</v>
      </c>
      <c r="B716" s="3" t="s">
        <v>520</v>
      </c>
      <c r="C716" s="3" t="s">
        <v>21</v>
      </c>
      <c r="D716" s="4">
        <f>HYPERLINK("https://cao.dolgi.msk.ru/account/1060207497/", 1060207497)</f>
        <v>1060207497</v>
      </c>
      <c r="E716" s="3">
        <v>5350.48</v>
      </c>
    </row>
    <row r="717" spans="1:5" x14ac:dyDescent="0.25">
      <c r="A717" s="3" t="s">
        <v>5</v>
      </c>
      <c r="B717" s="3" t="s">
        <v>520</v>
      </c>
      <c r="C717" s="3" t="s">
        <v>21</v>
      </c>
      <c r="D717" s="4">
        <f>HYPERLINK("https://cao.dolgi.msk.ru/account/1060207518/", 1060207518)</f>
        <v>1060207518</v>
      </c>
      <c r="E717" s="3">
        <v>7215.36</v>
      </c>
    </row>
    <row r="718" spans="1:5" x14ac:dyDescent="0.25">
      <c r="A718" s="3" t="s">
        <v>5</v>
      </c>
      <c r="B718" s="3" t="s">
        <v>520</v>
      </c>
      <c r="C718" s="3" t="s">
        <v>23</v>
      </c>
      <c r="D718" s="4">
        <f>HYPERLINK("https://cao.dolgi.msk.ru/account/1060207534/", 1060207534)</f>
        <v>1060207534</v>
      </c>
      <c r="E718" s="3">
        <v>10822.4</v>
      </c>
    </row>
    <row r="719" spans="1:5" x14ac:dyDescent="0.25">
      <c r="A719" s="3" t="s">
        <v>5</v>
      </c>
      <c r="B719" s="3" t="s">
        <v>520</v>
      </c>
      <c r="C719" s="3" t="s">
        <v>25</v>
      </c>
      <c r="D719" s="4">
        <f>HYPERLINK("https://cao.dolgi.msk.ru/account/1060207569/", 1060207569)</f>
        <v>1060207569</v>
      </c>
      <c r="E719" s="3">
        <v>32930.75</v>
      </c>
    </row>
    <row r="720" spans="1:5" x14ac:dyDescent="0.25">
      <c r="A720" s="3" t="s">
        <v>5</v>
      </c>
      <c r="B720" s="3" t="s">
        <v>520</v>
      </c>
      <c r="C720" s="3" t="s">
        <v>33</v>
      </c>
      <c r="D720" s="4">
        <f>HYPERLINK("https://cao.dolgi.msk.ru/account/1060207673/", 1060207673)</f>
        <v>1060207673</v>
      </c>
      <c r="E720" s="3">
        <v>166567.79999999999</v>
      </c>
    </row>
    <row r="721" spans="1:5" x14ac:dyDescent="0.25">
      <c r="A721" s="3" t="s">
        <v>5</v>
      </c>
      <c r="B721" s="3" t="s">
        <v>521</v>
      </c>
      <c r="C721" s="3" t="s">
        <v>137</v>
      </c>
      <c r="D721" s="4">
        <f>HYPERLINK("https://cao.dolgi.msk.ru/account/1060207884/", 1060207884)</f>
        <v>1060207884</v>
      </c>
      <c r="E721" s="3">
        <v>11477.19</v>
      </c>
    </row>
    <row r="722" spans="1:5" x14ac:dyDescent="0.25">
      <c r="A722" s="3" t="s">
        <v>5</v>
      </c>
      <c r="B722" s="3" t="s">
        <v>521</v>
      </c>
      <c r="C722" s="3" t="s">
        <v>17</v>
      </c>
      <c r="D722" s="4">
        <f>HYPERLINK("https://cao.dolgi.msk.ru/account/1060208027/", 1060208027)</f>
        <v>1060208027</v>
      </c>
      <c r="E722" s="3">
        <v>4069.71</v>
      </c>
    </row>
    <row r="723" spans="1:5" x14ac:dyDescent="0.25">
      <c r="A723" s="3" t="s">
        <v>5</v>
      </c>
      <c r="B723" s="3" t="s">
        <v>521</v>
      </c>
      <c r="C723" s="3" t="s">
        <v>20</v>
      </c>
      <c r="D723" s="4">
        <f>HYPERLINK("https://cao.dolgi.msk.ru/account/1060208043/", 1060208043)</f>
        <v>1060208043</v>
      </c>
      <c r="E723" s="3">
        <v>176998.32</v>
      </c>
    </row>
    <row r="724" spans="1:5" x14ac:dyDescent="0.25">
      <c r="A724" s="3" t="s">
        <v>5</v>
      </c>
      <c r="B724" s="3" t="s">
        <v>521</v>
      </c>
      <c r="C724" s="3" t="s">
        <v>22</v>
      </c>
      <c r="D724" s="4">
        <f>HYPERLINK("https://cao.dolgi.msk.ru/account/1060208051/", 1060208051)</f>
        <v>1060208051</v>
      </c>
      <c r="E724" s="3">
        <v>41540.879999999997</v>
      </c>
    </row>
    <row r="725" spans="1:5" x14ac:dyDescent="0.25">
      <c r="A725" s="3" t="s">
        <v>5</v>
      </c>
      <c r="B725" s="3" t="s">
        <v>521</v>
      </c>
      <c r="C725" s="3" t="s">
        <v>23</v>
      </c>
      <c r="D725" s="4">
        <f>HYPERLINK("https://cao.dolgi.msk.ru/account/1060853608/", 1060853608)</f>
        <v>1060853608</v>
      </c>
      <c r="E725" s="3">
        <v>20736.22</v>
      </c>
    </row>
    <row r="726" spans="1:5" x14ac:dyDescent="0.25">
      <c r="A726" s="3" t="s">
        <v>5</v>
      </c>
      <c r="B726" s="3" t="s">
        <v>521</v>
      </c>
      <c r="C726" s="3" t="s">
        <v>44</v>
      </c>
      <c r="D726" s="4">
        <f>HYPERLINK("https://cao.dolgi.msk.ru/account/1060208449/", 1060208449)</f>
        <v>1060208449</v>
      </c>
      <c r="E726" s="3">
        <v>33543.15</v>
      </c>
    </row>
    <row r="727" spans="1:5" x14ac:dyDescent="0.25">
      <c r="A727" s="3" t="s">
        <v>5</v>
      </c>
      <c r="B727" s="3" t="s">
        <v>521</v>
      </c>
      <c r="C727" s="3" t="s">
        <v>45</v>
      </c>
      <c r="D727" s="4">
        <f>HYPERLINK("https://cao.dolgi.msk.ru/account/1060208465/", 1060208465)</f>
        <v>1060208465</v>
      </c>
      <c r="E727" s="3">
        <v>3247.67</v>
      </c>
    </row>
    <row r="728" spans="1:5" x14ac:dyDescent="0.25">
      <c r="A728" s="3" t="s">
        <v>5</v>
      </c>
      <c r="B728" s="3" t="s">
        <v>522</v>
      </c>
      <c r="C728" s="3" t="s">
        <v>8</v>
      </c>
      <c r="D728" s="4">
        <f>HYPERLINK("https://cao.dolgi.msk.ru/account/1060208537/", 1060208537)</f>
        <v>1060208537</v>
      </c>
      <c r="E728" s="3">
        <v>478994.48</v>
      </c>
    </row>
    <row r="729" spans="1:5" x14ac:dyDescent="0.25">
      <c r="A729" s="3" t="s">
        <v>5</v>
      </c>
      <c r="B729" s="3" t="s">
        <v>522</v>
      </c>
      <c r="C729" s="3" t="s">
        <v>140</v>
      </c>
      <c r="D729" s="4">
        <f>HYPERLINK("https://cao.dolgi.msk.ru/account/1060208748/", 1060208748)</f>
        <v>1060208748</v>
      </c>
      <c r="E729" s="3">
        <v>5921.2</v>
      </c>
    </row>
    <row r="730" spans="1:5" x14ac:dyDescent="0.25">
      <c r="A730" s="3" t="s">
        <v>5</v>
      </c>
      <c r="B730" s="3" t="s">
        <v>522</v>
      </c>
      <c r="C730" s="3" t="s">
        <v>141</v>
      </c>
      <c r="D730" s="4">
        <f>HYPERLINK("https://cao.dolgi.msk.ru/account/1060867938/", 1060867938)</f>
        <v>1060867938</v>
      </c>
      <c r="E730" s="3">
        <v>27318.53</v>
      </c>
    </row>
    <row r="731" spans="1:5" x14ac:dyDescent="0.25">
      <c r="A731" s="3" t="s">
        <v>5</v>
      </c>
      <c r="B731" s="3" t="s">
        <v>522</v>
      </c>
      <c r="C731" s="3" t="s">
        <v>142</v>
      </c>
      <c r="D731" s="4">
        <f>HYPERLINK("https://cao.dolgi.msk.ru/account/1060208764/", 1060208764)</f>
        <v>1060208764</v>
      </c>
      <c r="E731" s="3">
        <v>6583.45</v>
      </c>
    </row>
    <row r="732" spans="1:5" x14ac:dyDescent="0.25">
      <c r="A732" s="3" t="s">
        <v>5</v>
      </c>
      <c r="B732" s="3" t="s">
        <v>522</v>
      </c>
      <c r="C732" s="3" t="s">
        <v>7</v>
      </c>
      <c r="D732" s="4">
        <f>HYPERLINK("https://cao.dolgi.msk.ru/account/1060208799/", 1060208799)</f>
        <v>1060208799</v>
      </c>
      <c r="E732" s="3">
        <v>6414.48</v>
      </c>
    </row>
    <row r="733" spans="1:5" x14ac:dyDescent="0.25">
      <c r="A733" s="3" t="s">
        <v>5</v>
      </c>
      <c r="B733" s="3" t="s">
        <v>522</v>
      </c>
      <c r="C733" s="3" t="s">
        <v>11</v>
      </c>
      <c r="D733" s="4">
        <f>HYPERLINK("https://cao.dolgi.msk.ru/account/1060208828/", 1060208828)</f>
        <v>1060208828</v>
      </c>
      <c r="E733" s="3">
        <v>92687.32</v>
      </c>
    </row>
    <row r="734" spans="1:5" x14ac:dyDescent="0.25">
      <c r="A734" s="3" t="s">
        <v>5</v>
      </c>
      <c r="B734" s="3" t="s">
        <v>522</v>
      </c>
      <c r="C734" s="3" t="s">
        <v>24</v>
      </c>
      <c r="D734" s="4">
        <f>HYPERLINK("https://cao.dolgi.msk.ru/account/1060209003/", 1060209003)</f>
        <v>1060209003</v>
      </c>
      <c r="E734" s="3">
        <v>5796.58</v>
      </c>
    </row>
    <row r="735" spans="1:5" x14ac:dyDescent="0.25">
      <c r="A735" s="3" t="s">
        <v>5</v>
      </c>
      <c r="B735" s="3" t="s">
        <v>522</v>
      </c>
      <c r="C735" s="3" t="s">
        <v>41</v>
      </c>
      <c r="D735" s="4">
        <f>HYPERLINK("https://cao.dolgi.msk.ru/account/1060864809/", 1060864809)</f>
        <v>1060864809</v>
      </c>
      <c r="E735" s="3">
        <v>10203.09</v>
      </c>
    </row>
    <row r="736" spans="1:5" x14ac:dyDescent="0.25">
      <c r="A736" s="3" t="s">
        <v>5</v>
      </c>
      <c r="B736" s="3" t="s">
        <v>522</v>
      </c>
      <c r="C736" s="3" t="s">
        <v>41</v>
      </c>
      <c r="D736" s="4">
        <f>HYPERLINK("https://cao.dolgi.msk.ru/account/1060864817/", 1060864817)</f>
        <v>1060864817</v>
      </c>
      <c r="E736" s="3">
        <v>13666.72</v>
      </c>
    </row>
    <row r="737" spans="1:5" x14ac:dyDescent="0.25">
      <c r="A737" s="3" t="s">
        <v>5</v>
      </c>
      <c r="B737" s="3" t="s">
        <v>523</v>
      </c>
      <c r="C737" s="3" t="s">
        <v>136</v>
      </c>
      <c r="D737" s="4">
        <f>HYPERLINK("https://cao.dolgi.msk.ru/account/1060209601/", 1060209601)</f>
        <v>1060209601</v>
      </c>
      <c r="E737" s="3">
        <v>1694.83</v>
      </c>
    </row>
    <row r="738" spans="1:5" x14ac:dyDescent="0.25">
      <c r="A738" s="3" t="s">
        <v>5</v>
      </c>
      <c r="B738" s="3" t="s">
        <v>523</v>
      </c>
      <c r="C738" s="3" t="s">
        <v>142</v>
      </c>
      <c r="D738" s="4">
        <f>HYPERLINK("https://cao.dolgi.msk.ru/account/1060209775/", 1060209775)</f>
        <v>1060209775</v>
      </c>
      <c r="E738" s="3">
        <v>43552.71</v>
      </c>
    </row>
    <row r="739" spans="1:5" x14ac:dyDescent="0.25">
      <c r="A739" s="3" t="s">
        <v>5</v>
      </c>
      <c r="B739" s="3" t="s">
        <v>523</v>
      </c>
      <c r="C739" s="3" t="s">
        <v>142</v>
      </c>
      <c r="D739" s="4">
        <f>HYPERLINK("https://cao.dolgi.msk.ru/account/1060209783/", 1060209783)</f>
        <v>1060209783</v>
      </c>
      <c r="E739" s="3">
        <v>40106.06</v>
      </c>
    </row>
    <row r="740" spans="1:5" x14ac:dyDescent="0.25">
      <c r="A740" s="3" t="s">
        <v>5</v>
      </c>
      <c r="B740" s="3" t="s">
        <v>524</v>
      </c>
      <c r="C740" s="3" t="s">
        <v>8</v>
      </c>
      <c r="D740" s="4">
        <f>HYPERLINK("https://cao.dolgi.msk.ru/account/1060209839/", 1060209839)</f>
        <v>1060209839</v>
      </c>
      <c r="E740" s="3">
        <v>317013.61</v>
      </c>
    </row>
    <row r="741" spans="1:5" x14ac:dyDescent="0.25">
      <c r="A741" s="3" t="s">
        <v>5</v>
      </c>
      <c r="B741" s="3" t="s">
        <v>524</v>
      </c>
      <c r="C741" s="3" t="s">
        <v>105</v>
      </c>
      <c r="D741" s="4">
        <f>HYPERLINK("https://cao.dolgi.msk.ru/account/1060209919/", 1060209919)</f>
        <v>1060209919</v>
      </c>
      <c r="E741" s="3">
        <v>8949.33</v>
      </c>
    </row>
    <row r="742" spans="1:5" x14ac:dyDescent="0.25">
      <c r="A742" s="3" t="s">
        <v>5</v>
      </c>
      <c r="B742" s="3" t="s">
        <v>524</v>
      </c>
      <c r="C742" s="3" t="s">
        <v>136</v>
      </c>
      <c r="D742" s="4">
        <f>HYPERLINK("https://cao.dolgi.msk.ru/account/1060209978/", 1060209978)</f>
        <v>1060209978</v>
      </c>
      <c r="E742" s="3">
        <v>44836.88</v>
      </c>
    </row>
    <row r="743" spans="1:5" x14ac:dyDescent="0.25">
      <c r="A743" s="3" t="s">
        <v>5</v>
      </c>
      <c r="B743" s="3" t="s">
        <v>524</v>
      </c>
      <c r="C743" s="3" t="s">
        <v>24</v>
      </c>
      <c r="D743" s="4">
        <f>HYPERLINK("https://cao.dolgi.msk.ru/account/1060210274/", 1060210274)</f>
        <v>1060210274</v>
      </c>
      <c r="E743" s="3">
        <v>9156.19</v>
      </c>
    </row>
    <row r="744" spans="1:5" x14ac:dyDescent="0.25">
      <c r="A744" s="3" t="s">
        <v>5</v>
      </c>
      <c r="B744" s="3" t="s">
        <v>525</v>
      </c>
      <c r="C744" s="3" t="s">
        <v>9</v>
      </c>
      <c r="D744" s="4">
        <f>HYPERLINK("https://cao.dolgi.msk.ru/account/1060210418/", 1060210418)</f>
        <v>1060210418</v>
      </c>
      <c r="E744" s="3">
        <v>10181.17</v>
      </c>
    </row>
    <row r="745" spans="1:5" x14ac:dyDescent="0.25">
      <c r="A745" s="3" t="s">
        <v>5</v>
      </c>
      <c r="B745" s="3" t="s">
        <v>525</v>
      </c>
      <c r="C745" s="3" t="s">
        <v>18</v>
      </c>
      <c r="D745" s="4">
        <f>HYPERLINK("https://cao.dolgi.msk.ru/account/1060210709/", 1060210709)</f>
        <v>1060210709</v>
      </c>
      <c r="E745" s="3">
        <v>6768.46</v>
      </c>
    </row>
    <row r="746" spans="1:5" x14ac:dyDescent="0.25">
      <c r="A746" s="3" t="s">
        <v>5</v>
      </c>
      <c r="B746" s="3" t="s">
        <v>525</v>
      </c>
      <c r="C746" s="3" t="s">
        <v>37</v>
      </c>
      <c r="D746" s="4">
        <f>HYPERLINK("https://cao.dolgi.msk.ru/account/1060210928/", 1060210928)</f>
        <v>1060210928</v>
      </c>
      <c r="E746" s="3">
        <v>22501.82</v>
      </c>
    </row>
    <row r="747" spans="1:5" x14ac:dyDescent="0.25">
      <c r="A747" s="3" t="s">
        <v>5</v>
      </c>
      <c r="B747" s="3" t="s">
        <v>526</v>
      </c>
      <c r="C747" s="3" t="s">
        <v>8</v>
      </c>
      <c r="D747" s="4">
        <f>HYPERLINK("https://cao.dolgi.msk.ru/account/1060881561/", 1060881561)</f>
        <v>1060881561</v>
      </c>
      <c r="E747" s="3">
        <v>9097.2800000000007</v>
      </c>
    </row>
    <row r="748" spans="1:5" x14ac:dyDescent="0.25">
      <c r="A748" s="3" t="s">
        <v>5</v>
      </c>
      <c r="B748" s="3" t="s">
        <v>526</v>
      </c>
      <c r="C748" s="3" t="s">
        <v>30</v>
      </c>
      <c r="D748" s="4">
        <f>HYPERLINK("https://cao.dolgi.msk.ru/account/1060881377/", 1060881377)</f>
        <v>1060881377</v>
      </c>
      <c r="E748" s="3">
        <v>33807.03</v>
      </c>
    </row>
    <row r="749" spans="1:5" x14ac:dyDescent="0.25">
      <c r="A749" s="3" t="s">
        <v>5</v>
      </c>
      <c r="B749" s="3" t="s">
        <v>526</v>
      </c>
      <c r="C749" s="3" t="s">
        <v>9</v>
      </c>
      <c r="D749" s="4">
        <f>HYPERLINK("https://cao.dolgi.msk.ru/account/1060867882/", 1060867882)</f>
        <v>1060867882</v>
      </c>
      <c r="E749" s="3">
        <v>27100.46</v>
      </c>
    </row>
    <row r="750" spans="1:5" x14ac:dyDescent="0.25">
      <c r="A750" s="3" t="s">
        <v>5</v>
      </c>
      <c r="B750" s="3" t="s">
        <v>526</v>
      </c>
      <c r="C750" s="3" t="s">
        <v>140</v>
      </c>
      <c r="D750" s="4">
        <f>HYPERLINK("https://cao.dolgi.msk.ru/account/1060865545/", 1060865545)</f>
        <v>1060865545</v>
      </c>
      <c r="E750" s="3">
        <v>7215.24</v>
      </c>
    </row>
    <row r="751" spans="1:5" x14ac:dyDescent="0.25">
      <c r="A751" s="3" t="s">
        <v>5</v>
      </c>
      <c r="B751" s="3" t="s">
        <v>526</v>
      </c>
      <c r="C751" s="3" t="s">
        <v>20</v>
      </c>
      <c r="D751" s="4">
        <f>HYPERLINK("https://cao.dolgi.msk.ru/account/1060887293/", 1060887293)</f>
        <v>1060887293</v>
      </c>
      <c r="E751" s="3">
        <v>190485.77</v>
      </c>
    </row>
    <row r="752" spans="1:5" x14ac:dyDescent="0.25">
      <c r="A752" s="3" t="s">
        <v>5</v>
      </c>
      <c r="B752" s="3" t="s">
        <v>526</v>
      </c>
      <c r="C752" s="3" t="s">
        <v>29</v>
      </c>
      <c r="D752" s="4">
        <f>HYPERLINK("https://cao.dolgi.msk.ru/account/1060896616/", 1060896616)</f>
        <v>1060896616</v>
      </c>
      <c r="E752" s="3">
        <v>9873.66</v>
      </c>
    </row>
    <row r="753" spans="1:5" x14ac:dyDescent="0.25">
      <c r="A753" s="3" t="s">
        <v>5</v>
      </c>
      <c r="B753" s="3" t="s">
        <v>527</v>
      </c>
      <c r="C753" s="3" t="s">
        <v>11</v>
      </c>
      <c r="D753" s="4">
        <f>HYPERLINK("https://cao.dolgi.msk.ru/account/1060211234/", 1060211234)</f>
        <v>1060211234</v>
      </c>
      <c r="E753" s="3">
        <v>21014.720000000001</v>
      </c>
    </row>
    <row r="754" spans="1:5" x14ac:dyDescent="0.25">
      <c r="A754" s="3" t="s">
        <v>5</v>
      </c>
      <c r="B754" s="3" t="s">
        <v>528</v>
      </c>
      <c r="C754" s="3" t="s">
        <v>8</v>
      </c>
      <c r="D754" s="4">
        <f>HYPERLINK("https://cao.dolgi.msk.ru/account/1060211592/", 1060211592)</f>
        <v>1060211592</v>
      </c>
      <c r="E754" s="3">
        <v>346386.89</v>
      </c>
    </row>
    <row r="755" spans="1:5" x14ac:dyDescent="0.25">
      <c r="A755" s="3" t="s">
        <v>5</v>
      </c>
      <c r="B755" s="3" t="s">
        <v>528</v>
      </c>
      <c r="C755" s="3" t="s">
        <v>9</v>
      </c>
      <c r="D755" s="4">
        <f>HYPERLINK("https://cao.dolgi.msk.ru/account/1060211664/", 1060211664)</f>
        <v>1060211664</v>
      </c>
      <c r="E755" s="3">
        <v>73644.100000000006</v>
      </c>
    </row>
    <row r="756" spans="1:5" x14ac:dyDescent="0.25">
      <c r="A756" s="3" t="s">
        <v>5</v>
      </c>
      <c r="B756" s="3" t="s">
        <v>528</v>
      </c>
      <c r="C756" s="3" t="s">
        <v>138</v>
      </c>
      <c r="D756" s="4">
        <f>HYPERLINK("https://cao.dolgi.msk.ru/account/1060211795/", 1060211795)</f>
        <v>1060211795</v>
      </c>
      <c r="E756" s="3">
        <v>12134.07</v>
      </c>
    </row>
    <row r="757" spans="1:5" x14ac:dyDescent="0.25">
      <c r="A757" s="3" t="s">
        <v>5</v>
      </c>
      <c r="B757" s="3" t="s">
        <v>528</v>
      </c>
      <c r="C757" s="3" t="s">
        <v>529</v>
      </c>
      <c r="D757" s="4">
        <f>HYPERLINK("https://cao.dolgi.msk.ru/account/1060211867/", 1060211867)</f>
        <v>1060211867</v>
      </c>
      <c r="E757" s="3">
        <v>342173.35</v>
      </c>
    </row>
    <row r="758" spans="1:5" x14ac:dyDescent="0.25">
      <c r="A758" s="3" t="s">
        <v>5</v>
      </c>
      <c r="B758" s="3" t="s">
        <v>528</v>
      </c>
      <c r="C758" s="3" t="s">
        <v>10</v>
      </c>
      <c r="D758" s="4">
        <f>HYPERLINK("https://cao.dolgi.msk.ru/account/1060211955/", 1060211955)</f>
        <v>1060211955</v>
      </c>
      <c r="E758" s="3">
        <v>5146.99</v>
      </c>
    </row>
    <row r="759" spans="1:5" x14ac:dyDescent="0.25">
      <c r="A759" s="3" t="s">
        <v>5</v>
      </c>
      <c r="B759" s="3" t="s">
        <v>530</v>
      </c>
      <c r="C759" s="3" t="s">
        <v>9</v>
      </c>
      <c r="D759" s="4">
        <f>HYPERLINK("https://cao.dolgi.msk.ru/account/1060212392/", 1060212392)</f>
        <v>1060212392</v>
      </c>
      <c r="E759" s="3">
        <v>15160.75</v>
      </c>
    </row>
    <row r="760" spans="1:5" x14ac:dyDescent="0.25">
      <c r="A760" s="3" t="s">
        <v>5</v>
      </c>
      <c r="B760" s="3" t="s">
        <v>530</v>
      </c>
      <c r="C760" s="3" t="s">
        <v>140</v>
      </c>
      <c r="D760" s="4">
        <f>HYPERLINK("https://cao.dolgi.msk.ru/account/1060212552/", 1060212552)</f>
        <v>1060212552</v>
      </c>
      <c r="E760" s="3">
        <v>27053.51</v>
      </c>
    </row>
    <row r="761" spans="1:5" x14ac:dyDescent="0.25">
      <c r="A761" s="3" t="s">
        <v>5</v>
      </c>
      <c r="B761" s="3" t="s">
        <v>530</v>
      </c>
      <c r="C761" s="3" t="s">
        <v>12</v>
      </c>
      <c r="D761" s="4">
        <f>HYPERLINK("https://cao.dolgi.msk.ru/account/1060212632/", 1060212632)</f>
        <v>1060212632</v>
      </c>
      <c r="E761" s="3">
        <v>6988.53</v>
      </c>
    </row>
    <row r="762" spans="1:5" x14ac:dyDescent="0.25">
      <c r="A762" s="3" t="s">
        <v>5</v>
      </c>
      <c r="B762" s="3" t="s">
        <v>530</v>
      </c>
      <c r="C762" s="3" t="s">
        <v>26</v>
      </c>
      <c r="D762" s="4">
        <f>HYPERLINK("https://cao.dolgi.msk.ru/account/1060212827/", 1060212827)</f>
        <v>1060212827</v>
      </c>
      <c r="E762" s="3">
        <v>8872.31</v>
      </c>
    </row>
    <row r="763" spans="1:5" x14ac:dyDescent="0.25">
      <c r="A763" s="3" t="s">
        <v>5</v>
      </c>
      <c r="B763" s="3" t="s">
        <v>531</v>
      </c>
      <c r="C763" s="3" t="s">
        <v>141</v>
      </c>
      <c r="D763" s="4">
        <f>HYPERLINK("https://cao.dolgi.msk.ru/account/1069103299/", 1069103299)</f>
        <v>1069103299</v>
      </c>
      <c r="E763" s="3">
        <v>15311.27</v>
      </c>
    </row>
    <row r="764" spans="1:5" x14ac:dyDescent="0.25">
      <c r="A764" s="3" t="s">
        <v>5</v>
      </c>
      <c r="B764" s="3" t="s">
        <v>531</v>
      </c>
      <c r="C764" s="3" t="s">
        <v>7</v>
      </c>
      <c r="D764" s="4">
        <f>HYPERLINK("https://cao.dolgi.msk.ru/account/1069103336/", 1069103336)</f>
        <v>1069103336</v>
      </c>
      <c r="E764" s="3">
        <v>100927.91</v>
      </c>
    </row>
    <row r="765" spans="1:5" x14ac:dyDescent="0.25">
      <c r="A765" s="3" t="s">
        <v>5</v>
      </c>
      <c r="B765" s="3" t="s">
        <v>531</v>
      </c>
      <c r="C765" s="3" t="s">
        <v>16</v>
      </c>
      <c r="D765" s="4">
        <f>HYPERLINK("https://cao.dolgi.msk.ru/account/1069103416/", 1069103416)</f>
        <v>1069103416</v>
      </c>
      <c r="E765" s="3">
        <v>10085.26</v>
      </c>
    </row>
    <row r="766" spans="1:5" x14ac:dyDescent="0.25">
      <c r="A766" s="3" t="s">
        <v>5</v>
      </c>
      <c r="B766" s="3" t="s">
        <v>531</v>
      </c>
      <c r="C766" s="3" t="s">
        <v>38</v>
      </c>
      <c r="D766" s="4">
        <f>HYPERLINK("https://cao.dolgi.msk.ru/account/1069103678/", 1069103678)</f>
        <v>1069103678</v>
      </c>
      <c r="E766" s="3">
        <v>9635.85</v>
      </c>
    </row>
    <row r="767" spans="1:5" x14ac:dyDescent="0.25">
      <c r="A767" s="3" t="s">
        <v>5</v>
      </c>
      <c r="B767" s="3" t="s">
        <v>531</v>
      </c>
      <c r="C767" s="3" t="s">
        <v>49</v>
      </c>
      <c r="D767" s="4">
        <f>HYPERLINK("https://cao.dolgi.msk.ru/account/1069003511/", 1069003511)</f>
        <v>1069003511</v>
      </c>
      <c r="E767" s="3">
        <v>6475.56</v>
      </c>
    </row>
    <row r="768" spans="1:5" x14ac:dyDescent="0.25">
      <c r="A768" s="3" t="s">
        <v>5</v>
      </c>
      <c r="B768" s="3" t="s">
        <v>531</v>
      </c>
      <c r="C768" s="3" t="s">
        <v>52</v>
      </c>
      <c r="D768" s="4">
        <f>HYPERLINK("https://cao.dolgi.msk.ru/account/1069103838/", 1069103838)</f>
        <v>1069103838</v>
      </c>
      <c r="E768" s="3">
        <v>23565.51</v>
      </c>
    </row>
    <row r="769" spans="1:5" x14ac:dyDescent="0.25">
      <c r="A769" s="3" t="s">
        <v>5</v>
      </c>
      <c r="B769" s="3" t="s">
        <v>531</v>
      </c>
      <c r="C769" s="3" t="s">
        <v>176</v>
      </c>
      <c r="D769" s="4">
        <f>HYPERLINK("https://cao.dolgi.msk.ru/account/1060104308/", 1060104308)</f>
        <v>1060104308</v>
      </c>
      <c r="E769" s="3">
        <v>18742.72</v>
      </c>
    </row>
    <row r="770" spans="1:5" x14ac:dyDescent="0.25">
      <c r="A770" s="3" t="s">
        <v>5</v>
      </c>
      <c r="B770" s="3" t="s">
        <v>531</v>
      </c>
      <c r="C770" s="3" t="s">
        <v>178</v>
      </c>
      <c r="D770" s="4">
        <f>HYPERLINK("https://cao.dolgi.msk.ru/account/1060104324/", 1060104324)</f>
        <v>1060104324</v>
      </c>
      <c r="E770" s="3">
        <v>17791.73</v>
      </c>
    </row>
    <row r="771" spans="1:5" x14ac:dyDescent="0.25">
      <c r="A771" s="3" t="s">
        <v>5</v>
      </c>
      <c r="B771" s="3" t="s">
        <v>531</v>
      </c>
      <c r="C771" s="3" t="s">
        <v>181</v>
      </c>
      <c r="D771" s="4">
        <f>HYPERLINK("https://cao.dolgi.msk.ru/account/1060104375/", 1060104375)</f>
        <v>1060104375</v>
      </c>
      <c r="E771" s="3">
        <v>7186.35</v>
      </c>
    </row>
    <row r="772" spans="1:5" x14ac:dyDescent="0.25">
      <c r="A772" s="3" t="s">
        <v>5</v>
      </c>
      <c r="B772" s="3" t="s">
        <v>531</v>
      </c>
      <c r="C772" s="3" t="s">
        <v>182</v>
      </c>
      <c r="D772" s="4">
        <f>HYPERLINK("https://cao.dolgi.msk.ru/account/1060104383/", 1060104383)</f>
        <v>1060104383</v>
      </c>
      <c r="E772" s="3">
        <v>22606.91</v>
      </c>
    </row>
    <row r="773" spans="1:5" x14ac:dyDescent="0.25">
      <c r="A773" s="3" t="s">
        <v>5</v>
      </c>
      <c r="B773" s="3" t="s">
        <v>531</v>
      </c>
      <c r="C773" s="3" t="s">
        <v>186</v>
      </c>
      <c r="D773" s="4">
        <f>HYPERLINK("https://cao.dolgi.msk.ru/account/1060104439/", 1060104439)</f>
        <v>1060104439</v>
      </c>
      <c r="E773" s="3">
        <v>11192.05</v>
      </c>
    </row>
    <row r="774" spans="1:5" x14ac:dyDescent="0.25">
      <c r="A774" s="3" t="s">
        <v>5</v>
      </c>
      <c r="B774" s="3" t="s">
        <v>531</v>
      </c>
      <c r="C774" s="3" t="s">
        <v>191</v>
      </c>
      <c r="D774" s="4">
        <f>HYPERLINK("https://cao.dolgi.msk.ru/account/1060104498/", 1060104498)</f>
        <v>1060104498</v>
      </c>
      <c r="E774" s="3">
        <v>23408.7</v>
      </c>
    </row>
    <row r="775" spans="1:5" x14ac:dyDescent="0.25">
      <c r="A775" s="3" t="s">
        <v>5</v>
      </c>
      <c r="B775" s="3" t="s">
        <v>531</v>
      </c>
      <c r="C775" s="3" t="s">
        <v>192</v>
      </c>
      <c r="D775" s="4">
        <f>HYPERLINK("https://cao.dolgi.msk.ru/account/1060104519/", 1060104519)</f>
        <v>1060104519</v>
      </c>
      <c r="E775" s="3">
        <v>6356.78</v>
      </c>
    </row>
    <row r="776" spans="1:5" x14ac:dyDescent="0.25">
      <c r="A776" s="3" t="s">
        <v>5</v>
      </c>
      <c r="B776" s="3" t="s">
        <v>531</v>
      </c>
      <c r="C776" s="3" t="s">
        <v>196</v>
      </c>
      <c r="D776" s="4">
        <f>HYPERLINK("https://cao.dolgi.msk.ru/account/1060104551/", 1060104551)</f>
        <v>1060104551</v>
      </c>
      <c r="E776" s="3">
        <v>4446.7</v>
      </c>
    </row>
    <row r="777" spans="1:5" x14ac:dyDescent="0.25">
      <c r="A777" s="3" t="s">
        <v>5</v>
      </c>
      <c r="B777" s="3" t="s">
        <v>531</v>
      </c>
      <c r="C777" s="3" t="s">
        <v>209</v>
      </c>
      <c r="D777" s="4">
        <f>HYPERLINK("https://cao.dolgi.msk.ru/account/1060104666/", 1060104666)</f>
        <v>1060104666</v>
      </c>
      <c r="E777" s="3">
        <v>212493.67</v>
      </c>
    </row>
    <row r="778" spans="1:5" x14ac:dyDescent="0.25">
      <c r="A778" s="3" t="s">
        <v>5</v>
      </c>
      <c r="B778" s="3" t="s">
        <v>531</v>
      </c>
      <c r="C778" s="3" t="s">
        <v>226</v>
      </c>
      <c r="D778" s="4">
        <f>HYPERLINK("https://cao.dolgi.msk.ru/account/1060104885/", 1060104885)</f>
        <v>1060104885</v>
      </c>
      <c r="E778" s="3">
        <v>8956.94</v>
      </c>
    </row>
    <row r="779" spans="1:5" x14ac:dyDescent="0.25">
      <c r="A779" s="3" t="s">
        <v>5</v>
      </c>
      <c r="B779" s="3" t="s">
        <v>531</v>
      </c>
      <c r="C779" s="3" t="s">
        <v>233</v>
      </c>
      <c r="D779" s="4">
        <f>HYPERLINK("https://cao.dolgi.msk.ru/account/1060104965/", 1060104965)</f>
        <v>1060104965</v>
      </c>
      <c r="E779" s="3">
        <v>56034.67</v>
      </c>
    </row>
    <row r="780" spans="1:5" x14ac:dyDescent="0.25">
      <c r="A780" s="3" t="s">
        <v>5</v>
      </c>
      <c r="B780" s="3" t="s">
        <v>531</v>
      </c>
      <c r="C780" s="3" t="s">
        <v>247</v>
      </c>
      <c r="D780" s="4">
        <f>HYPERLINK("https://cao.dolgi.msk.ru/account/1060105159/", 1060105159)</f>
        <v>1060105159</v>
      </c>
      <c r="E780" s="3">
        <v>4748.1400000000003</v>
      </c>
    </row>
    <row r="781" spans="1:5" x14ac:dyDescent="0.25">
      <c r="A781" s="3" t="s">
        <v>5</v>
      </c>
      <c r="B781" s="3" t="s">
        <v>531</v>
      </c>
      <c r="C781" s="3" t="s">
        <v>253</v>
      </c>
      <c r="D781" s="4">
        <f>HYPERLINK("https://cao.dolgi.msk.ru/account/1060105239/", 1060105239)</f>
        <v>1060105239</v>
      </c>
      <c r="E781" s="3">
        <v>20752.509999999998</v>
      </c>
    </row>
    <row r="782" spans="1:5" x14ac:dyDescent="0.25">
      <c r="A782" s="3" t="s">
        <v>5</v>
      </c>
      <c r="B782" s="3" t="s">
        <v>531</v>
      </c>
      <c r="C782" s="3" t="s">
        <v>255</v>
      </c>
      <c r="D782" s="4">
        <f>HYPERLINK("https://cao.dolgi.msk.ru/account/1060105255/", 1060105255)</f>
        <v>1060105255</v>
      </c>
      <c r="E782" s="3">
        <v>36874.910000000003</v>
      </c>
    </row>
    <row r="783" spans="1:5" x14ac:dyDescent="0.25">
      <c r="A783" s="3" t="s">
        <v>5</v>
      </c>
      <c r="B783" s="3" t="s">
        <v>531</v>
      </c>
      <c r="C783" s="3" t="s">
        <v>274</v>
      </c>
      <c r="D783" s="4">
        <f>HYPERLINK("https://cao.dolgi.msk.ru/account/1060105554/", 1060105554)</f>
        <v>1060105554</v>
      </c>
      <c r="E783" s="3">
        <v>50838.19</v>
      </c>
    </row>
    <row r="784" spans="1:5" x14ac:dyDescent="0.25">
      <c r="A784" s="3" t="s">
        <v>5</v>
      </c>
      <c r="B784" s="3" t="s">
        <v>531</v>
      </c>
      <c r="C784" s="3" t="s">
        <v>277</v>
      </c>
      <c r="D784" s="4">
        <f>HYPERLINK("https://cao.dolgi.msk.ru/account/1060105597/", 1060105597)</f>
        <v>1060105597</v>
      </c>
      <c r="E784" s="3">
        <v>6966.42</v>
      </c>
    </row>
    <row r="785" spans="1:5" x14ac:dyDescent="0.25">
      <c r="A785" s="3" t="s">
        <v>5</v>
      </c>
      <c r="B785" s="3" t="s">
        <v>531</v>
      </c>
      <c r="C785" s="3" t="s">
        <v>284</v>
      </c>
      <c r="D785" s="4">
        <f>HYPERLINK("https://cao.dolgi.msk.ru/account/1060105706/", 1060105706)</f>
        <v>1060105706</v>
      </c>
      <c r="E785" s="3">
        <v>23827.119999999999</v>
      </c>
    </row>
    <row r="786" spans="1:5" x14ac:dyDescent="0.25">
      <c r="A786" s="3" t="s">
        <v>5</v>
      </c>
      <c r="B786" s="3" t="s">
        <v>531</v>
      </c>
      <c r="C786" s="3" t="s">
        <v>285</v>
      </c>
      <c r="D786" s="4">
        <f>HYPERLINK("https://cao.dolgi.msk.ru/account/1060105714/", 1060105714)</f>
        <v>1060105714</v>
      </c>
      <c r="E786" s="3">
        <v>10692.33</v>
      </c>
    </row>
    <row r="787" spans="1:5" x14ac:dyDescent="0.25">
      <c r="A787" s="3" t="s">
        <v>5</v>
      </c>
      <c r="B787" s="3" t="s">
        <v>531</v>
      </c>
      <c r="C787" s="3" t="s">
        <v>294</v>
      </c>
      <c r="D787" s="4">
        <f>HYPERLINK("https://cao.dolgi.msk.ru/account/1060105837/", 1060105837)</f>
        <v>1060105837</v>
      </c>
      <c r="E787" s="3">
        <v>9012.16</v>
      </c>
    </row>
    <row r="788" spans="1:5" x14ac:dyDescent="0.25">
      <c r="A788" s="3" t="s">
        <v>5</v>
      </c>
      <c r="B788" s="3" t="s">
        <v>531</v>
      </c>
      <c r="C788" s="3" t="s">
        <v>126</v>
      </c>
      <c r="D788" s="4">
        <f>HYPERLINK("https://cao.dolgi.msk.ru/account/1060106071/", 1060106071)</f>
        <v>1060106071</v>
      </c>
      <c r="E788" s="3">
        <v>4515.45</v>
      </c>
    </row>
    <row r="789" spans="1:5" x14ac:dyDescent="0.25">
      <c r="A789" s="3" t="s">
        <v>5</v>
      </c>
      <c r="B789" s="3" t="s">
        <v>531</v>
      </c>
      <c r="C789" s="3" t="s">
        <v>301</v>
      </c>
      <c r="D789" s="4">
        <f>HYPERLINK("https://cao.dolgi.msk.ru/account/1060106127/", 1060106127)</f>
        <v>1060106127</v>
      </c>
      <c r="E789" s="3">
        <v>12148.85</v>
      </c>
    </row>
    <row r="790" spans="1:5" x14ac:dyDescent="0.25">
      <c r="A790" s="3" t="s">
        <v>5</v>
      </c>
      <c r="B790" s="3" t="s">
        <v>531</v>
      </c>
      <c r="C790" s="3" t="s">
        <v>302</v>
      </c>
      <c r="D790" s="4">
        <f>HYPERLINK("https://cao.dolgi.msk.ru/account/1060106135/", 1060106135)</f>
        <v>1060106135</v>
      </c>
      <c r="E790" s="3">
        <v>20283.25</v>
      </c>
    </row>
    <row r="791" spans="1:5" x14ac:dyDescent="0.25">
      <c r="A791" s="3" t="s">
        <v>5</v>
      </c>
      <c r="B791" s="3" t="s">
        <v>531</v>
      </c>
      <c r="C791" s="3" t="s">
        <v>318</v>
      </c>
      <c r="D791" s="4">
        <f>HYPERLINK("https://cao.dolgi.msk.ru/account/1060106389/", 1060106389)</f>
        <v>1060106389</v>
      </c>
      <c r="E791" s="3">
        <v>16881</v>
      </c>
    </row>
    <row r="792" spans="1:5" x14ac:dyDescent="0.25">
      <c r="A792" s="3" t="s">
        <v>5</v>
      </c>
      <c r="B792" s="3" t="s">
        <v>532</v>
      </c>
      <c r="C792" s="3" t="s">
        <v>131</v>
      </c>
      <c r="D792" s="4">
        <f>HYPERLINK("https://cao.dolgi.msk.ru/account/1060106477/", 1060106477)</f>
        <v>1060106477</v>
      </c>
      <c r="E792" s="3">
        <v>13390.92</v>
      </c>
    </row>
    <row r="793" spans="1:5" x14ac:dyDescent="0.25">
      <c r="A793" s="3" t="s">
        <v>5</v>
      </c>
      <c r="B793" s="3" t="s">
        <v>532</v>
      </c>
      <c r="C793" s="3" t="s">
        <v>131</v>
      </c>
      <c r="D793" s="4">
        <f>HYPERLINK("https://cao.dolgi.msk.ru/account/1060865393/", 1060865393)</f>
        <v>1060865393</v>
      </c>
      <c r="E793" s="3">
        <v>14943.21</v>
      </c>
    </row>
    <row r="794" spans="1:5" x14ac:dyDescent="0.25">
      <c r="A794" s="3" t="s">
        <v>5</v>
      </c>
      <c r="B794" s="3" t="s">
        <v>532</v>
      </c>
      <c r="C794" s="3" t="s">
        <v>18</v>
      </c>
      <c r="D794" s="4">
        <f>HYPERLINK("https://cao.dolgi.msk.ru/account/1060106792/", 1060106792)</f>
        <v>1060106792</v>
      </c>
      <c r="E794" s="3">
        <v>7996.45</v>
      </c>
    </row>
    <row r="795" spans="1:5" x14ac:dyDescent="0.25">
      <c r="A795" s="3" t="s">
        <v>5</v>
      </c>
      <c r="B795" s="3" t="s">
        <v>532</v>
      </c>
      <c r="C795" s="3" t="s">
        <v>24</v>
      </c>
      <c r="D795" s="4">
        <f>HYPERLINK("https://cao.dolgi.msk.ru/account/1060106864/", 1060106864)</f>
        <v>1060106864</v>
      </c>
      <c r="E795" s="3">
        <v>6786.53</v>
      </c>
    </row>
    <row r="796" spans="1:5" x14ac:dyDescent="0.25">
      <c r="A796" s="3" t="s">
        <v>5</v>
      </c>
      <c r="B796" s="3" t="s">
        <v>532</v>
      </c>
      <c r="C796" s="3" t="s">
        <v>27</v>
      </c>
      <c r="D796" s="4">
        <f>HYPERLINK("https://cao.dolgi.msk.ru/account/1060106901/", 1060106901)</f>
        <v>1060106901</v>
      </c>
      <c r="E796" s="3">
        <v>8860.25</v>
      </c>
    </row>
    <row r="797" spans="1:5" x14ac:dyDescent="0.25">
      <c r="A797" s="3" t="s">
        <v>5</v>
      </c>
      <c r="B797" s="3" t="s">
        <v>532</v>
      </c>
      <c r="C797" s="3" t="s">
        <v>29</v>
      </c>
      <c r="D797" s="4">
        <f>HYPERLINK("https://cao.dolgi.msk.ru/account/1060106936/", 1060106936)</f>
        <v>1060106936</v>
      </c>
      <c r="E797" s="3">
        <v>11651.28</v>
      </c>
    </row>
    <row r="798" spans="1:5" x14ac:dyDescent="0.25">
      <c r="A798" s="3" t="s">
        <v>5</v>
      </c>
      <c r="B798" s="3" t="s">
        <v>532</v>
      </c>
      <c r="C798" s="3" t="s">
        <v>33</v>
      </c>
      <c r="D798" s="4">
        <f>HYPERLINK("https://cao.dolgi.msk.ru/account/1060106979/", 1060106979)</f>
        <v>1060106979</v>
      </c>
      <c r="E798" s="3">
        <v>24462.26</v>
      </c>
    </row>
    <row r="799" spans="1:5" x14ac:dyDescent="0.25">
      <c r="A799" s="3" t="s">
        <v>5</v>
      </c>
      <c r="B799" s="3" t="s">
        <v>532</v>
      </c>
      <c r="C799" s="3" t="s">
        <v>37</v>
      </c>
      <c r="D799" s="4">
        <f>HYPERLINK("https://cao.dolgi.msk.ru/account/1060107015/", 1060107015)</f>
        <v>1060107015</v>
      </c>
      <c r="E799" s="3">
        <v>60695.66</v>
      </c>
    </row>
    <row r="800" spans="1:5" x14ac:dyDescent="0.25">
      <c r="A800" s="3" t="s">
        <v>5</v>
      </c>
      <c r="B800" s="3" t="s">
        <v>532</v>
      </c>
      <c r="C800" s="3" t="s">
        <v>41</v>
      </c>
      <c r="D800" s="4">
        <f>HYPERLINK("https://cao.dolgi.msk.ru/account/1060107066/", 1060107066)</f>
        <v>1060107066</v>
      </c>
      <c r="E800" s="3">
        <v>91122.66</v>
      </c>
    </row>
    <row r="801" spans="1:5" x14ac:dyDescent="0.25">
      <c r="A801" s="3" t="s">
        <v>5</v>
      </c>
      <c r="B801" s="3" t="s">
        <v>532</v>
      </c>
      <c r="C801" s="3" t="s">
        <v>42</v>
      </c>
      <c r="D801" s="4">
        <f>HYPERLINK("https://cao.dolgi.msk.ru/account/1060107074/", 1060107074)</f>
        <v>1060107074</v>
      </c>
      <c r="E801" s="3">
        <v>73632.72</v>
      </c>
    </row>
    <row r="802" spans="1:5" x14ac:dyDescent="0.25">
      <c r="A802" s="3" t="s">
        <v>5</v>
      </c>
      <c r="B802" s="3" t="s">
        <v>533</v>
      </c>
      <c r="C802" s="3" t="s">
        <v>11</v>
      </c>
      <c r="D802" s="4">
        <f>HYPERLINK("https://cao.dolgi.msk.ru/account/1060107605/", 1060107605)</f>
        <v>1060107605</v>
      </c>
      <c r="E802" s="3">
        <v>2603.19</v>
      </c>
    </row>
    <row r="803" spans="1:5" x14ac:dyDescent="0.25">
      <c r="A803" s="3" t="s">
        <v>5</v>
      </c>
      <c r="B803" s="3" t="s">
        <v>533</v>
      </c>
      <c r="C803" s="3" t="s">
        <v>11</v>
      </c>
      <c r="D803" s="4">
        <f>HYPERLINK("https://cao.dolgi.msk.ru/account/1060886215/", 1060886215)</f>
        <v>1060886215</v>
      </c>
      <c r="E803" s="3">
        <v>2310.52</v>
      </c>
    </row>
    <row r="804" spans="1:5" x14ac:dyDescent="0.25">
      <c r="A804" s="3" t="s">
        <v>5</v>
      </c>
      <c r="B804" s="3" t="s">
        <v>534</v>
      </c>
      <c r="C804" s="3" t="s">
        <v>139</v>
      </c>
      <c r="D804" s="4">
        <f>HYPERLINK("https://cao.dolgi.msk.ru/account/1060107939/", 1060107939)</f>
        <v>1060107939</v>
      </c>
      <c r="E804" s="3">
        <v>402951.86</v>
      </c>
    </row>
    <row r="805" spans="1:5" x14ac:dyDescent="0.25">
      <c r="A805" s="3" t="s">
        <v>5</v>
      </c>
      <c r="B805" s="3" t="s">
        <v>534</v>
      </c>
      <c r="C805" s="3" t="s">
        <v>140</v>
      </c>
      <c r="D805" s="4">
        <f>HYPERLINK("https://cao.dolgi.msk.ru/account/1060819055/", 1060819055)</f>
        <v>1060819055</v>
      </c>
      <c r="E805" s="3">
        <v>33949.089999999997</v>
      </c>
    </row>
    <row r="806" spans="1:5" x14ac:dyDescent="0.25">
      <c r="A806" s="3" t="s">
        <v>5</v>
      </c>
      <c r="B806" s="3" t="s">
        <v>534</v>
      </c>
      <c r="C806" s="3" t="s">
        <v>143</v>
      </c>
      <c r="D806" s="4">
        <f>HYPERLINK("https://cao.dolgi.msk.ru/account/1060107971/", 1060107971)</f>
        <v>1060107971</v>
      </c>
      <c r="E806" s="3">
        <v>9042.23</v>
      </c>
    </row>
    <row r="807" spans="1:5" x14ac:dyDescent="0.25">
      <c r="A807" s="3" t="s">
        <v>5</v>
      </c>
      <c r="B807" s="3" t="s">
        <v>534</v>
      </c>
      <c r="C807" s="3" t="s">
        <v>17</v>
      </c>
      <c r="D807" s="4">
        <f>HYPERLINK("https://cao.dolgi.msk.ru/account/1060108122/", 1060108122)</f>
        <v>1060108122</v>
      </c>
      <c r="E807" s="3">
        <v>36787.29</v>
      </c>
    </row>
    <row r="808" spans="1:5" x14ac:dyDescent="0.25">
      <c r="A808" s="3" t="s">
        <v>5</v>
      </c>
      <c r="B808" s="3" t="s">
        <v>534</v>
      </c>
      <c r="C808" s="3" t="s">
        <v>26</v>
      </c>
      <c r="D808" s="4">
        <f>HYPERLINK("https://cao.dolgi.msk.ru/account/1060108245/", 1060108245)</f>
        <v>1060108245</v>
      </c>
      <c r="E808" s="3">
        <v>13876.47</v>
      </c>
    </row>
    <row r="809" spans="1:5" x14ac:dyDescent="0.25">
      <c r="A809" s="3" t="s">
        <v>5</v>
      </c>
      <c r="B809" s="3" t="s">
        <v>534</v>
      </c>
      <c r="C809" s="3" t="s">
        <v>27</v>
      </c>
      <c r="D809" s="4">
        <f>HYPERLINK("https://cao.dolgi.msk.ru/account/1060108253/", 1060108253)</f>
        <v>1060108253</v>
      </c>
      <c r="E809" s="3">
        <v>27616.07</v>
      </c>
    </row>
    <row r="810" spans="1:5" x14ac:dyDescent="0.25">
      <c r="A810" s="3" t="s">
        <v>5</v>
      </c>
      <c r="B810" s="3" t="s">
        <v>534</v>
      </c>
      <c r="C810" s="3" t="s">
        <v>28</v>
      </c>
      <c r="D810" s="4">
        <f>HYPERLINK("https://cao.dolgi.msk.ru/account/1060108261/", 1060108261)</f>
        <v>1060108261</v>
      </c>
      <c r="E810" s="3">
        <v>67531.179999999993</v>
      </c>
    </row>
    <row r="811" spans="1:5" x14ac:dyDescent="0.25">
      <c r="A811" s="3" t="s">
        <v>5</v>
      </c>
      <c r="B811" s="3" t="s">
        <v>534</v>
      </c>
      <c r="C811" s="3" t="s">
        <v>44</v>
      </c>
      <c r="D811" s="4">
        <f>HYPERLINK("https://cao.dolgi.msk.ru/account/1060108421/", 1060108421)</f>
        <v>1060108421</v>
      </c>
      <c r="E811" s="3">
        <v>14365.89</v>
      </c>
    </row>
    <row r="812" spans="1:5" x14ac:dyDescent="0.25">
      <c r="A812" s="3" t="s">
        <v>5</v>
      </c>
      <c r="B812" s="3" t="s">
        <v>534</v>
      </c>
      <c r="C812" s="3" t="s">
        <v>52</v>
      </c>
      <c r="D812" s="4">
        <f>HYPERLINK("https://cao.dolgi.msk.ru/account/1060108552/", 1060108552)</f>
        <v>1060108552</v>
      </c>
      <c r="E812" s="3">
        <v>96528.08</v>
      </c>
    </row>
    <row r="813" spans="1:5" x14ac:dyDescent="0.25">
      <c r="A813" s="3" t="s">
        <v>5</v>
      </c>
      <c r="B813" s="3" t="s">
        <v>534</v>
      </c>
      <c r="C813" s="3" t="s">
        <v>53</v>
      </c>
      <c r="D813" s="4">
        <f>HYPERLINK("https://cao.dolgi.msk.ru/account/1060108579/", 1060108579)</f>
        <v>1060108579</v>
      </c>
      <c r="E813" s="3">
        <v>97481.12</v>
      </c>
    </row>
    <row r="814" spans="1:5" x14ac:dyDescent="0.25">
      <c r="A814" s="3" t="s">
        <v>5</v>
      </c>
      <c r="B814" s="3" t="s">
        <v>534</v>
      </c>
      <c r="C814" s="3" t="s">
        <v>59</v>
      </c>
      <c r="D814" s="4">
        <f>HYPERLINK("https://cao.dolgi.msk.ru/account/1060108632/", 1060108632)</f>
        <v>1060108632</v>
      </c>
      <c r="E814" s="3">
        <v>192016.99</v>
      </c>
    </row>
    <row r="815" spans="1:5" x14ac:dyDescent="0.25">
      <c r="A815" s="3" t="s">
        <v>5</v>
      </c>
      <c r="B815" s="3" t="s">
        <v>534</v>
      </c>
      <c r="C815" s="3" t="s">
        <v>60</v>
      </c>
      <c r="D815" s="4">
        <f>HYPERLINK("https://cao.dolgi.msk.ru/account/1060108659/", 1060108659)</f>
        <v>1060108659</v>
      </c>
      <c r="E815" s="3">
        <v>93798.53</v>
      </c>
    </row>
    <row r="816" spans="1:5" x14ac:dyDescent="0.25">
      <c r="A816" s="3" t="s">
        <v>5</v>
      </c>
      <c r="B816" s="3" t="s">
        <v>535</v>
      </c>
      <c r="C816" s="3" t="s">
        <v>40</v>
      </c>
      <c r="D816" s="4">
        <f>HYPERLINK("https://cao.dolgi.msk.ru/account/1060109459/", 1060109459)</f>
        <v>1060109459</v>
      </c>
      <c r="E816" s="3">
        <v>8601.7999999999993</v>
      </c>
    </row>
    <row r="817" spans="1:5" x14ac:dyDescent="0.25">
      <c r="A817" s="3" t="s">
        <v>5</v>
      </c>
      <c r="B817" s="3" t="s">
        <v>535</v>
      </c>
      <c r="C817" s="3" t="s">
        <v>42</v>
      </c>
      <c r="D817" s="4">
        <f>HYPERLINK("https://cao.dolgi.msk.ru/account/1060109475/", 1060109475)</f>
        <v>1060109475</v>
      </c>
      <c r="E817" s="3">
        <v>23215.75</v>
      </c>
    </row>
    <row r="818" spans="1:5" x14ac:dyDescent="0.25">
      <c r="A818" s="3" t="s">
        <v>5</v>
      </c>
      <c r="B818" s="3" t="s">
        <v>535</v>
      </c>
      <c r="C818" s="3" t="s">
        <v>55</v>
      </c>
      <c r="D818" s="4">
        <f>HYPERLINK("https://cao.dolgi.msk.ru/account/1060109539/", 1060109539)</f>
        <v>1060109539</v>
      </c>
      <c r="E818" s="3">
        <v>14478.58</v>
      </c>
    </row>
    <row r="819" spans="1:5" x14ac:dyDescent="0.25">
      <c r="A819" s="3" t="s">
        <v>5</v>
      </c>
      <c r="B819" s="3" t="s">
        <v>535</v>
      </c>
      <c r="C819" s="3" t="s">
        <v>55</v>
      </c>
      <c r="D819" s="4">
        <f>HYPERLINK("https://cao.dolgi.msk.ru/account/1060109547/", 1060109547)</f>
        <v>1060109547</v>
      </c>
      <c r="E819" s="3">
        <v>15017.55</v>
      </c>
    </row>
    <row r="820" spans="1:5" x14ac:dyDescent="0.25">
      <c r="A820" s="3" t="s">
        <v>5</v>
      </c>
      <c r="B820" s="3" t="s">
        <v>535</v>
      </c>
      <c r="C820" s="3" t="s">
        <v>64</v>
      </c>
      <c r="D820" s="4">
        <f>HYPERLINK("https://cao.dolgi.msk.ru/account/1060109686/", 1060109686)</f>
        <v>1060109686</v>
      </c>
      <c r="E820" s="3">
        <v>8028.61</v>
      </c>
    </row>
    <row r="821" spans="1:5" x14ac:dyDescent="0.25">
      <c r="A821" s="3" t="s">
        <v>5</v>
      </c>
      <c r="B821" s="3" t="s">
        <v>536</v>
      </c>
      <c r="C821" s="3" t="s">
        <v>132</v>
      </c>
      <c r="D821" s="4">
        <f>HYPERLINK("https://cao.dolgi.msk.ru/account/1060109838/", 1060109838)</f>
        <v>1060109838</v>
      </c>
      <c r="E821" s="3">
        <v>5441.67</v>
      </c>
    </row>
    <row r="822" spans="1:5" x14ac:dyDescent="0.25">
      <c r="A822" s="3" t="s">
        <v>5</v>
      </c>
      <c r="B822" s="3" t="s">
        <v>536</v>
      </c>
      <c r="C822" s="3" t="s">
        <v>25</v>
      </c>
      <c r="D822" s="4">
        <f>HYPERLINK("https://cao.dolgi.msk.ru/account/1060110214/", 1060110214)</f>
        <v>1060110214</v>
      </c>
      <c r="E822" s="3">
        <v>34306.6</v>
      </c>
    </row>
    <row r="823" spans="1:5" x14ac:dyDescent="0.25">
      <c r="A823" s="3" t="s">
        <v>5</v>
      </c>
      <c r="B823" s="3" t="s">
        <v>536</v>
      </c>
      <c r="C823" s="3" t="s">
        <v>28</v>
      </c>
      <c r="D823" s="4">
        <f>HYPERLINK("https://cao.dolgi.msk.ru/account/1060110257/", 1060110257)</f>
        <v>1060110257</v>
      </c>
      <c r="E823" s="3">
        <v>6571.32</v>
      </c>
    </row>
    <row r="824" spans="1:5" x14ac:dyDescent="0.25">
      <c r="A824" s="3" t="s">
        <v>5</v>
      </c>
      <c r="B824" s="3" t="s">
        <v>536</v>
      </c>
      <c r="C824" s="3" t="s">
        <v>35</v>
      </c>
      <c r="D824" s="4">
        <f>HYPERLINK("https://cao.dolgi.msk.ru/account/1060110329/", 1060110329)</f>
        <v>1060110329</v>
      </c>
      <c r="E824" s="3">
        <v>11371.78</v>
      </c>
    </row>
    <row r="825" spans="1:5" x14ac:dyDescent="0.25">
      <c r="A825" s="3" t="s">
        <v>5</v>
      </c>
      <c r="B825" s="3" t="s">
        <v>536</v>
      </c>
      <c r="C825" s="3" t="s">
        <v>57</v>
      </c>
      <c r="D825" s="4">
        <f>HYPERLINK("https://cao.dolgi.msk.ru/account/1060110572/", 1060110572)</f>
        <v>1060110572</v>
      </c>
      <c r="E825" s="3">
        <v>66011.740000000005</v>
      </c>
    </row>
    <row r="826" spans="1:5" x14ac:dyDescent="0.25">
      <c r="A826" s="3" t="s">
        <v>5</v>
      </c>
      <c r="B826" s="3" t="s">
        <v>536</v>
      </c>
      <c r="C826" s="3" t="s">
        <v>61</v>
      </c>
      <c r="D826" s="4">
        <f>HYPERLINK("https://cao.dolgi.msk.ru/account/1060110644/", 1060110644)</f>
        <v>1060110644</v>
      </c>
      <c r="E826" s="3">
        <v>25888.73</v>
      </c>
    </row>
    <row r="827" spans="1:5" x14ac:dyDescent="0.25">
      <c r="A827" s="3" t="s">
        <v>5</v>
      </c>
      <c r="B827" s="3" t="s">
        <v>536</v>
      </c>
      <c r="C827" s="3" t="s">
        <v>74</v>
      </c>
      <c r="D827" s="4">
        <f>HYPERLINK("https://cao.dolgi.msk.ru/account/1060110775/", 1060110775)</f>
        <v>1060110775</v>
      </c>
      <c r="E827" s="3">
        <v>22602.73</v>
      </c>
    </row>
    <row r="828" spans="1:5" x14ac:dyDescent="0.25">
      <c r="A828" s="3" t="s">
        <v>5</v>
      </c>
      <c r="B828" s="3" t="s">
        <v>536</v>
      </c>
      <c r="C828" s="3" t="s">
        <v>75</v>
      </c>
      <c r="D828" s="4">
        <f>HYPERLINK("https://cao.dolgi.msk.ru/account/1060110783/", 1060110783)</f>
        <v>1060110783</v>
      </c>
      <c r="E828" s="3">
        <v>25014.33</v>
      </c>
    </row>
    <row r="829" spans="1:5" x14ac:dyDescent="0.25">
      <c r="A829" s="3" t="s">
        <v>5</v>
      </c>
      <c r="B829" s="3" t="s">
        <v>537</v>
      </c>
      <c r="C829" s="3" t="s">
        <v>89</v>
      </c>
      <c r="D829" s="4">
        <f>HYPERLINK("https://cao.dolgi.msk.ru/account/1060605874/", 1060605874)</f>
        <v>1060605874</v>
      </c>
      <c r="E829" s="3">
        <v>9320.5300000000007</v>
      </c>
    </row>
    <row r="830" spans="1:5" x14ac:dyDescent="0.25">
      <c r="A830" s="3" t="s">
        <v>5</v>
      </c>
      <c r="B830" s="3" t="s">
        <v>537</v>
      </c>
      <c r="C830" s="3" t="s">
        <v>134</v>
      </c>
      <c r="D830" s="4">
        <f>HYPERLINK("https://cao.dolgi.msk.ru/account/1060605938/", 1060605938)</f>
        <v>1060605938</v>
      </c>
      <c r="E830" s="3">
        <v>150121.84</v>
      </c>
    </row>
    <row r="831" spans="1:5" x14ac:dyDescent="0.25">
      <c r="A831" s="3" t="s">
        <v>5</v>
      </c>
      <c r="B831" s="3" t="s">
        <v>537</v>
      </c>
      <c r="C831" s="3" t="s">
        <v>134</v>
      </c>
      <c r="D831" s="4">
        <f>HYPERLINK("https://cao.dolgi.msk.ru/account/1060605946/", 1060605946)</f>
        <v>1060605946</v>
      </c>
      <c r="E831" s="3">
        <v>6663.08</v>
      </c>
    </row>
    <row r="832" spans="1:5" x14ac:dyDescent="0.25">
      <c r="A832" s="3" t="s">
        <v>5</v>
      </c>
      <c r="B832" s="3" t="s">
        <v>537</v>
      </c>
      <c r="C832" s="3" t="s">
        <v>140</v>
      </c>
      <c r="D832" s="4">
        <f>HYPERLINK("https://cao.dolgi.msk.ru/account/1060606025/", 1060606025)</f>
        <v>1060606025</v>
      </c>
      <c r="E832" s="3">
        <v>456343.21</v>
      </c>
    </row>
    <row r="833" spans="1:5" x14ac:dyDescent="0.25">
      <c r="A833" s="3" t="s">
        <v>5</v>
      </c>
      <c r="B833" s="3" t="s">
        <v>537</v>
      </c>
      <c r="C833" s="3" t="s">
        <v>11</v>
      </c>
      <c r="D833" s="4">
        <f>HYPERLINK("https://cao.dolgi.msk.ru/account/1060606113/", 1060606113)</f>
        <v>1060606113</v>
      </c>
      <c r="E833" s="3">
        <v>24997.97</v>
      </c>
    </row>
    <row r="834" spans="1:5" x14ac:dyDescent="0.25">
      <c r="A834" s="3" t="s">
        <v>5</v>
      </c>
      <c r="B834" s="3" t="s">
        <v>537</v>
      </c>
      <c r="C834" s="3" t="s">
        <v>20</v>
      </c>
      <c r="D834" s="4">
        <f>HYPERLINK("https://cao.dolgi.msk.ru/account/1060885749/", 1060885749)</f>
        <v>1060885749</v>
      </c>
      <c r="E834" s="3">
        <v>29506.35</v>
      </c>
    </row>
    <row r="835" spans="1:5" x14ac:dyDescent="0.25">
      <c r="A835" s="3" t="s">
        <v>5</v>
      </c>
      <c r="B835" s="3" t="s">
        <v>537</v>
      </c>
      <c r="C835" s="3" t="s">
        <v>36</v>
      </c>
      <c r="D835" s="4">
        <f>HYPERLINK("https://cao.dolgi.msk.ru/account/1060606404/", 1060606404)</f>
        <v>1060606404</v>
      </c>
      <c r="E835" s="3">
        <v>24265.96</v>
      </c>
    </row>
    <row r="836" spans="1:5" x14ac:dyDescent="0.25">
      <c r="A836" s="3" t="s">
        <v>5</v>
      </c>
      <c r="B836" s="3" t="s">
        <v>537</v>
      </c>
      <c r="C836" s="3" t="s">
        <v>43</v>
      </c>
      <c r="D836" s="4">
        <f>HYPERLINK("https://cao.dolgi.msk.ru/account/1060606519/", 1060606519)</f>
        <v>1060606519</v>
      </c>
      <c r="E836" s="3">
        <v>11619.56</v>
      </c>
    </row>
    <row r="837" spans="1:5" x14ac:dyDescent="0.25">
      <c r="A837" s="3" t="s">
        <v>5</v>
      </c>
      <c r="B837" s="3" t="s">
        <v>537</v>
      </c>
      <c r="C837" s="3" t="s">
        <v>44</v>
      </c>
      <c r="D837" s="4">
        <f>HYPERLINK("https://cao.dolgi.msk.ru/account/1060606535/", 1060606535)</f>
        <v>1060606535</v>
      </c>
      <c r="E837" s="3">
        <v>256047.09</v>
      </c>
    </row>
    <row r="838" spans="1:5" x14ac:dyDescent="0.25">
      <c r="A838" s="3" t="s">
        <v>5</v>
      </c>
      <c r="B838" s="3" t="s">
        <v>537</v>
      </c>
      <c r="C838" s="3" t="s">
        <v>54</v>
      </c>
      <c r="D838" s="4">
        <f>HYPERLINK("https://cao.dolgi.msk.ru/account/1060606674/", 1060606674)</f>
        <v>1060606674</v>
      </c>
      <c r="E838" s="3">
        <v>18209.150000000001</v>
      </c>
    </row>
    <row r="839" spans="1:5" x14ac:dyDescent="0.25">
      <c r="A839" s="3" t="s">
        <v>5</v>
      </c>
      <c r="B839" s="3" t="s">
        <v>537</v>
      </c>
      <c r="C839" s="3" t="s">
        <v>66</v>
      </c>
      <c r="D839" s="4">
        <f>HYPERLINK("https://cao.dolgi.msk.ru/account/1060606885/", 1060606885)</f>
        <v>1060606885</v>
      </c>
      <c r="E839" s="3">
        <v>12634</v>
      </c>
    </row>
    <row r="840" spans="1:5" x14ac:dyDescent="0.25">
      <c r="A840" s="3" t="s">
        <v>5</v>
      </c>
      <c r="B840" s="3" t="s">
        <v>538</v>
      </c>
      <c r="C840" s="3" t="s">
        <v>86</v>
      </c>
      <c r="D840" s="4">
        <f>HYPERLINK("https://cao.dolgi.msk.ru/account/1060608063/", 1060608063)</f>
        <v>1060608063</v>
      </c>
      <c r="E840" s="3">
        <v>164315.18</v>
      </c>
    </row>
    <row r="841" spans="1:5" x14ac:dyDescent="0.25">
      <c r="A841" s="3" t="s">
        <v>5</v>
      </c>
      <c r="B841" s="3" t="s">
        <v>538</v>
      </c>
      <c r="C841" s="3" t="s">
        <v>86</v>
      </c>
      <c r="D841" s="4">
        <f>HYPERLINK("https://cao.dolgi.msk.ru/account/1060817623/", 1060817623)</f>
        <v>1060817623</v>
      </c>
      <c r="E841" s="3">
        <v>241604.76</v>
      </c>
    </row>
    <row r="842" spans="1:5" x14ac:dyDescent="0.25">
      <c r="A842" s="3" t="s">
        <v>5</v>
      </c>
      <c r="B842" s="3" t="s">
        <v>538</v>
      </c>
      <c r="C842" s="3" t="s">
        <v>88</v>
      </c>
      <c r="D842" s="4">
        <f>HYPERLINK("https://cao.dolgi.msk.ru/account/1060608098/", 1060608098)</f>
        <v>1060608098</v>
      </c>
      <c r="E842" s="3">
        <v>11687.03</v>
      </c>
    </row>
    <row r="843" spans="1:5" x14ac:dyDescent="0.25">
      <c r="A843" s="3" t="s">
        <v>5</v>
      </c>
      <c r="B843" s="3" t="s">
        <v>538</v>
      </c>
      <c r="C843" s="3" t="s">
        <v>96</v>
      </c>
      <c r="D843" s="4">
        <f>HYPERLINK("https://cao.dolgi.msk.ru/account/1060608194/", 1060608194)</f>
        <v>1060608194</v>
      </c>
      <c r="E843" s="3">
        <v>36217.24</v>
      </c>
    </row>
    <row r="844" spans="1:5" x14ac:dyDescent="0.25">
      <c r="A844" s="3" t="s">
        <v>5</v>
      </c>
      <c r="B844" s="3" t="s">
        <v>538</v>
      </c>
      <c r="C844" s="3" t="s">
        <v>149</v>
      </c>
      <c r="D844" s="4">
        <f>HYPERLINK("https://cao.dolgi.msk.ru/account/1060608522/", 1060608522)</f>
        <v>1060608522</v>
      </c>
      <c r="E844" s="3">
        <v>76831.81</v>
      </c>
    </row>
    <row r="845" spans="1:5" x14ac:dyDescent="0.25">
      <c r="A845" s="3" t="s">
        <v>5</v>
      </c>
      <c r="B845" s="3" t="s">
        <v>538</v>
      </c>
      <c r="C845" s="3" t="s">
        <v>158</v>
      </c>
      <c r="D845" s="4">
        <f>HYPERLINK("https://cao.dolgi.msk.ru/account/1060608645/", 1060608645)</f>
        <v>1060608645</v>
      </c>
      <c r="E845" s="3">
        <v>3567.64</v>
      </c>
    </row>
    <row r="846" spans="1:5" x14ac:dyDescent="0.25">
      <c r="A846" s="3" t="s">
        <v>5</v>
      </c>
      <c r="B846" s="3" t="s">
        <v>538</v>
      </c>
      <c r="C846" s="3" t="s">
        <v>158</v>
      </c>
      <c r="D846" s="4">
        <f>HYPERLINK("https://cao.dolgi.msk.ru/account/1060608653/", 1060608653)</f>
        <v>1060608653</v>
      </c>
      <c r="E846" s="3">
        <v>4992.58</v>
      </c>
    </row>
    <row r="847" spans="1:5" x14ac:dyDescent="0.25">
      <c r="A847" s="3" t="s">
        <v>5</v>
      </c>
      <c r="B847" s="3" t="s">
        <v>538</v>
      </c>
      <c r="C847" s="3" t="s">
        <v>173</v>
      </c>
      <c r="D847" s="4">
        <f>HYPERLINK("https://cao.dolgi.msk.ru/account/1060608821/", 1060608821)</f>
        <v>1060608821</v>
      </c>
      <c r="E847" s="3">
        <v>10495.28</v>
      </c>
    </row>
    <row r="848" spans="1:5" x14ac:dyDescent="0.25">
      <c r="A848" s="3" t="s">
        <v>5</v>
      </c>
      <c r="B848" s="3" t="s">
        <v>538</v>
      </c>
      <c r="C848" s="3" t="s">
        <v>188</v>
      </c>
      <c r="D848" s="4">
        <f>HYPERLINK("https://cao.dolgi.msk.ru/account/1060608901/", 1060608901)</f>
        <v>1060608901</v>
      </c>
      <c r="E848" s="3">
        <v>108517.94</v>
      </c>
    </row>
    <row r="849" spans="1:5" x14ac:dyDescent="0.25">
      <c r="A849" s="3" t="s">
        <v>5</v>
      </c>
      <c r="B849" s="3" t="s">
        <v>538</v>
      </c>
      <c r="C849" s="3" t="s">
        <v>188</v>
      </c>
      <c r="D849" s="4">
        <f>HYPERLINK("https://cao.dolgi.msk.ru/account/1060608928/", 1060608928)</f>
        <v>1060608928</v>
      </c>
      <c r="E849" s="3">
        <v>237813.04</v>
      </c>
    </row>
    <row r="850" spans="1:5" x14ac:dyDescent="0.25">
      <c r="A850" s="3" t="s">
        <v>5</v>
      </c>
      <c r="B850" s="3" t="s">
        <v>538</v>
      </c>
      <c r="C850" s="3" t="s">
        <v>191</v>
      </c>
      <c r="D850" s="4">
        <f>HYPERLINK("https://cao.dolgi.msk.ru/account/1060609111/", 1060609111)</f>
        <v>1060609111</v>
      </c>
      <c r="E850" s="3">
        <v>16577.38</v>
      </c>
    </row>
    <row r="851" spans="1:5" x14ac:dyDescent="0.25">
      <c r="A851" s="3" t="s">
        <v>5</v>
      </c>
      <c r="B851" s="3" t="s">
        <v>539</v>
      </c>
      <c r="C851" s="3" t="s">
        <v>51</v>
      </c>
      <c r="D851" s="4">
        <f>HYPERLINK("https://cao.dolgi.msk.ru/account/1060606906/", 1060606906)</f>
        <v>1060606906</v>
      </c>
      <c r="E851" s="3">
        <v>7656.1</v>
      </c>
    </row>
    <row r="852" spans="1:5" x14ac:dyDescent="0.25">
      <c r="A852" s="3" t="s">
        <v>5</v>
      </c>
      <c r="B852" s="3" t="s">
        <v>539</v>
      </c>
      <c r="C852" s="3" t="s">
        <v>105</v>
      </c>
      <c r="D852" s="4">
        <f>HYPERLINK("https://cao.dolgi.msk.ru/account/1060607001/", 1060607001)</f>
        <v>1060607001</v>
      </c>
      <c r="E852" s="3">
        <v>8126.25</v>
      </c>
    </row>
    <row r="853" spans="1:5" x14ac:dyDescent="0.25">
      <c r="A853" s="3" t="s">
        <v>5</v>
      </c>
      <c r="B853" s="3" t="s">
        <v>539</v>
      </c>
      <c r="C853" s="3" t="s">
        <v>25</v>
      </c>
      <c r="D853" s="4">
        <f>HYPERLINK("https://cao.dolgi.msk.ru/account/1060607415/", 1060607415)</f>
        <v>1060607415</v>
      </c>
      <c r="E853" s="3">
        <v>19575.53</v>
      </c>
    </row>
    <row r="854" spans="1:5" x14ac:dyDescent="0.25">
      <c r="A854" s="3" t="s">
        <v>5</v>
      </c>
      <c r="B854" s="3" t="s">
        <v>539</v>
      </c>
      <c r="C854" s="3" t="s">
        <v>36</v>
      </c>
      <c r="D854" s="4">
        <f>HYPERLINK("https://cao.dolgi.msk.ru/account/1060607546/", 1060607546)</f>
        <v>1060607546</v>
      </c>
      <c r="E854" s="3">
        <v>5999.94</v>
      </c>
    </row>
    <row r="855" spans="1:5" x14ac:dyDescent="0.25">
      <c r="A855" s="3" t="s">
        <v>5</v>
      </c>
      <c r="B855" s="3" t="s">
        <v>539</v>
      </c>
      <c r="C855" s="3" t="s">
        <v>44</v>
      </c>
      <c r="D855" s="4">
        <f>HYPERLINK("https://cao.dolgi.msk.ru/account/1060607642/", 1060607642)</f>
        <v>1060607642</v>
      </c>
      <c r="E855" s="3">
        <v>6652.91</v>
      </c>
    </row>
    <row r="856" spans="1:5" x14ac:dyDescent="0.25">
      <c r="A856" s="3" t="s">
        <v>5</v>
      </c>
      <c r="B856" s="3" t="s">
        <v>539</v>
      </c>
      <c r="C856" s="3" t="s">
        <v>540</v>
      </c>
      <c r="D856" s="4">
        <f>HYPERLINK("https://cao.dolgi.msk.ru/account/1060607677/", 1060607677)</f>
        <v>1060607677</v>
      </c>
      <c r="E856" s="3">
        <v>35865.08</v>
      </c>
    </row>
    <row r="857" spans="1:5" x14ac:dyDescent="0.25">
      <c r="A857" s="3" t="s">
        <v>5</v>
      </c>
      <c r="B857" s="3" t="s">
        <v>539</v>
      </c>
      <c r="C857" s="3" t="s">
        <v>55</v>
      </c>
      <c r="D857" s="4">
        <f>HYPERLINK("https://cao.dolgi.msk.ru/account/1060607722/", 1060607722)</f>
        <v>1060607722</v>
      </c>
      <c r="E857" s="3">
        <v>5520.14</v>
      </c>
    </row>
    <row r="858" spans="1:5" x14ac:dyDescent="0.25">
      <c r="A858" s="3" t="s">
        <v>5</v>
      </c>
      <c r="B858" s="3" t="s">
        <v>539</v>
      </c>
      <c r="C858" s="3" t="s">
        <v>58</v>
      </c>
      <c r="D858" s="4">
        <f>HYPERLINK("https://cao.dolgi.msk.ru/account/1060607765/", 1060607765)</f>
        <v>1060607765</v>
      </c>
      <c r="E858" s="3">
        <v>270924.84999999998</v>
      </c>
    </row>
    <row r="859" spans="1:5" x14ac:dyDescent="0.25">
      <c r="A859" s="3" t="s">
        <v>5</v>
      </c>
      <c r="B859" s="3" t="s">
        <v>539</v>
      </c>
      <c r="C859" s="3" t="s">
        <v>59</v>
      </c>
      <c r="D859" s="4">
        <f>HYPERLINK("https://cao.dolgi.msk.ru/account/1060607773/", 1060607773)</f>
        <v>1060607773</v>
      </c>
      <c r="E859" s="3">
        <v>201454.2</v>
      </c>
    </row>
    <row r="860" spans="1:5" x14ac:dyDescent="0.25">
      <c r="A860" s="3" t="s">
        <v>5</v>
      </c>
      <c r="B860" s="3" t="s">
        <v>539</v>
      </c>
      <c r="C860" s="3" t="s">
        <v>60</v>
      </c>
      <c r="D860" s="4">
        <f>HYPERLINK("https://cao.dolgi.msk.ru/account/1060607781/", 1060607781)</f>
        <v>1060607781</v>
      </c>
      <c r="E860" s="3">
        <v>288957.92</v>
      </c>
    </row>
    <row r="861" spans="1:5" x14ac:dyDescent="0.25">
      <c r="A861" s="3" t="s">
        <v>5</v>
      </c>
      <c r="B861" s="3" t="s">
        <v>539</v>
      </c>
      <c r="C861" s="3" t="s">
        <v>66</v>
      </c>
      <c r="D861" s="4">
        <f>HYPERLINK("https://cao.dolgi.msk.ru/account/1060607861/", 1060607861)</f>
        <v>1060607861</v>
      </c>
      <c r="E861" s="3">
        <v>18142.54</v>
      </c>
    </row>
    <row r="862" spans="1:5" x14ac:dyDescent="0.25">
      <c r="A862" s="3" t="s">
        <v>5</v>
      </c>
      <c r="B862" s="3" t="s">
        <v>541</v>
      </c>
      <c r="C862" s="3" t="s">
        <v>134</v>
      </c>
      <c r="D862" s="4">
        <f>HYPERLINK("https://cao.dolgi.msk.ru/account/1060603457/", 1060603457)</f>
        <v>1060603457</v>
      </c>
      <c r="E862" s="3">
        <v>25904.25</v>
      </c>
    </row>
    <row r="863" spans="1:5" x14ac:dyDescent="0.25">
      <c r="A863" s="3" t="s">
        <v>5</v>
      </c>
      <c r="B863" s="3" t="s">
        <v>541</v>
      </c>
      <c r="C863" s="3" t="s">
        <v>16</v>
      </c>
      <c r="D863" s="4">
        <f>HYPERLINK("https://cao.dolgi.msk.ru/account/1060603705/", 1060603705)</f>
        <v>1060603705</v>
      </c>
      <c r="E863" s="3">
        <v>12713.34</v>
      </c>
    </row>
    <row r="864" spans="1:5" x14ac:dyDescent="0.25">
      <c r="A864" s="3" t="s">
        <v>5</v>
      </c>
      <c r="B864" s="3" t="s">
        <v>541</v>
      </c>
      <c r="C864" s="3" t="s">
        <v>20</v>
      </c>
      <c r="D864" s="4">
        <f>HYPERLINK("https://cao.dolgi.msk.ru/account/1060603756/", 1060603756)</f>
        <v>1060603756</v>
      </c>
      <c r="E864" s="3">
        <v>94733.2</v>
      </c>
    </row>
    <row r="865" spans="1:5" x14ac:dyDescent="0.25">
      <c r="A865" s="3" t="s">
        <v>5</v>
      </c>
      <c r="B865" s="3" t="s">
        <v>541</v>
      </c>
      <c r="C865" s="3" t="s">
        <v>20</v>
      </c>
      <c r="D865" s="4">
        <f>HYPERLINK("https://cao.dolgi.msk.ru/account/1060603764/", 1060603764)</f>
        <v>1060603764</v>
      </c>
      <c r="E865" s="3">
        <v>1978.75</v>
      </c>
    </row>
    <row r="866" spans="1:5" x14ac:dyDescent="0.25">
      <c r="A866" s="3" t="s">
        <v>5</v>
      </c>
      <c r="B866" s="3" t="s">
        <v>542</v>
      </c>
      <c r="C866" s="3" t="s">
        <v>29</v>
      </c>
      <c r="D866" s="4">
        <f>HYPERLINK("https://cao.dolgi.msk.ru/account/1060602315/", 1060602315)</f>
        <v>1060602315</v>
      </c>
      <c r="E866" s="3">
        <v>5004</v>
      </c>
    </row>
    <row r="867" spans="1:5" x14ac:dyDescent="0.25">
      <c r="A867" s="3" t="s">
        <v>5</v>
      </c>
      <c r="B867" s="3" t="s">
        <v>542</v>
      </c>
      <c r="C867" s="3" t="s">
        <v>34</v>
      </c>
      <c r="D867" s="4">
        <f>HYPERLINK("https://cao.dolgi.msk.ru/account/1060602403/", 1060602403)</f>
        <v>1060602403</v>
      </c>
      <c r="E867" s="3">
        <v>445970.78</v>
      </c>
    </row>
    <row r="868" spans="1:5" x14ac:dyDescent="0.25">
      <c r="A868" s="3" t="s">
        <v>5</v>
      </c>
      <c r="B868" s="3" t="s">
        <v>542</v>
      </c>
      <c r="C868" s="3" t="s">
        <v>39</v>
      </c>
      <c r="D868" s="4">
        <f>HYPERLINK("https://cao.dolgi.msk.ru/account/1060602411/", 1060602411)</f>
        <v>1060602411</v>
      </c>
      <c r="E868" s="3">
        <v>11085.72</v>
      </c>
    </row>
    <row r="869" spans="1:5" x14ac:dyDescent="0.25">
      <c r="A869" s="3" t="s">
        <v>5</v>
      </c>
      <c r="B869" s="3" t="s">
        <v>542</v>
      </c>
      <c r="C869" s="3" t="s">
        <v>41</v>
      </c>
      <c r="D869" s="4">
        <f>HYPERLINK("https://cao.dolgi.msk.ru/account/1060602446/", 1060602446)</f>
        <v>1060602446</v>
      </c>
      <c r="E869" s="3">
        <v>7700.66</v>
      </c>
    </row>
    <row r="870" spans="1:5" x14ac:dyDescent="0.25">
      <c r="A870" s="3" t="s">
        <v>5</v>
      </c>
      <c r="B870" s="3" t="s">
        <v>542</v>
      </c>
      <c r="C870" s="3" t="s">
        <v>54</v>
      </c>
      <c r="D870" s="4">
        <f>HYPERLINK("https://cao.dolgi.msk.ru/account/1060602585/", 1060602585)</f>
        <v>1060602585</v>
      </c>
      <c r="E870" s="3">
        <v>21051.84</v>
      </c>
    </row>
    <row r="871" spans="1:5" x14ac:dyDescent="0.25">
      <c r="A871" s="3" t="s">
        <v>5</v>
      </c>
      <c r="B871" s="3" t="s">
        <v>543</v>
      </c>
      <c r="C871" s="3" t="s">
        <v>7</v>
      </c>
      <c r="D871" s="4">
        <f>HYPERLINK("https://cao.dolgi.msk.ru/account/1060621452/", 1060621452)</f>
        <v>1060621452</v>
      </c>
      <c r="E871" s="3">
        <v>6591.13</v>
      </c>
    </row>
    <row r="872" spans="1:5" x14ac:dyDescent="0.25">
      <c r="A872" s="3" t="s">
        <v>5</v>
      </c>
      <c r="B872" s="3" t="s">
        <v>543</v>
      </c>
      <c r="C872" s="3" t="s">
        <v>19</v>
      </c>
      <c r="D872" s="4">
        <f>HYPERLINK("https://cao.dolgi.msk.ru/account/1060621575/", 1060621575)</f>
        <v>1060621575</v>
      </c>
      <c r="E872" s="3">
        <v>8470.44</v>
      </c>
    </row>
    <row r="873" spans="1:5" x14ac:dyDescent="0.25">
      <c r="A873" s="3" t="s">
        <v>5</v>
      </c>
      <c r="B873" s="3" t="s">
        <v>543</v>
      </c>
      <c r="C873" s="3" t="s">
        <v>35</v>
      </c>
      <c r="D873" s="4">
        <f>HYPERLINK("https://cao.dolgi.msk.ru/account/1060621751/", 1060621751)</f>
        <v>1060621751</v>
      </c>
      <c r="E873" s="3">
        <v>8417.2099999999991</v>
      </c>
    </row>
    <row r="874" spans="1:5" x14ac:dyDescent="0.25">
      <c r="A874" s="3" t="s">
        <v>5</v>
      </c>
      <c r="B874" s="3" t="s">
        <v>543</v>
      </c>
      <c r="C874" s="3" t="s">
        <v>38</v>
      </c>
      <c r="D874" s="4">
        <f>HYPERLINK("https://cao.dolgi.msk.ru/account/1060621807/", 1060621807)</f>
        <v>1060621807</v>
      </c>
      <c r="E874" s="3">
        <v>4929.8500000000004</v>
      </c>
    </row>
    <row r="875" spans="1:5" x14ac:dyDescent="0.25">
      <c r="A875" s="3" t="s">
        <v>5</v>
      </c>
      <c r="B875" s="3" t="s">
        <v>543</v>
      </c>
      <c r="C875" s="3" t="s">
        <v>81</v>
      </c>
      <c r="D875" s="4">
        <f>HYPERLINK("https://cao.dolgi.msk.ru/account/1060622252/", 1060622252)</f>
        <v>1060622252</v>
      </c>
      <c r="E875" s="3">
        <v>12375.4</v>
      </c>
    </row>
    <row r="876" spans="1:5" x14ac:dyDescent="0.25">
      <c r="A876" s="3" t="s">
        <v>5</v>
      </c>
      <c r="B876" s="3" t="s">
        <v>543</v>
      </c>
      <c r="C876" s="3" t="s">
        <v>91</v>
      </c>
      <c r="D876" s="4">
        <f>HYPERLINK("https://cao.dolgi.msk.ru/account/1060622375/", 1060622375)</f>
        <v>1060622375</v>
      </c>
      <c r="E876" s="3">
        <v>9106.41</v>
      </c>
    </row>
    <row r="877" spans="1:5" x14ac:dyDescent="0.25">
      <c r="A877" s="3" t="s">
        <v>5</v>
      </c>
      <c r="B877" s="3" t="s">
        <v>544</v>
      </c>
      <c r="C877" s="3" t="s">
        <v>16</v>
      </c>
      <c r="D877" s="4">
        <f>HYPERLINK("https://cao.dolgi.msk.ru/account/1060733059/", 1060733059)</f>
        <v>1060733059</v>
      </c>
      <c r="E877" s="3">
        <v>160407.93</v>
      </c>
    </row>
    <row r="878" spans="1:5" x14ac:dyDescent="0.25">
      <c r="A878" s="3" t="s">
        <v>5</v>
      </c>
      <c r="B878" s="3" t="s">
        <v>544</v>
      </c>
      <c r="C878" s="3" t="s">
        <v>20</v>
      </c>
      <c r="D878" s="4">
        <f>HYPERLINK("https://cao.dolgi.msk.ru/account/1060733091/", 1060733091)</f>
        <v>1060733091</v>
      </c>
      <c r="E878" s="3">
        <v>15216.56</v>
      </c>
    </row>
    <row r="879" spans="1:5" x14ac:dyDescent="0.25">
      <c r="A879" s="3" t="s">
        <v>5</v>
      </c>
      <c r="B879" s="3" t="s">
        <v>544</v>
      </c>
      <c r="C879" s="3" t="s">
        <v>23</v>
      </c>
      <c r="D879" s="4">
        <f>HYPERLINK("https://cao.dolgi.msk.ru/account/1060733139/", 1060733139)</f>
        <v>1060733139</v>
      </c>
      <c r="E879" s="3">
        <v>32745.72</v>
      </c>
    </row>
    <row r="880" spans="1:5" x14ac:dyDescent="0.25">
      <c r="A880" s="3" t="s">
        <v>5</v>
      </c>
      <c r="B880" s="3" t="s">
        <v>544</v>
      </c>
      <c r="C880" s="3" t="s">
        <v>31</v>
      </c>
      <c r="D880" s="4">
        <f>HYPERLINK("https://cao.dolgi.msk.ru/account/1060733227/", 1060733227)</f>
        <v>1060733227</v>
      </c>
      <c r="E880" s="3">
        <v>10560.9</v>
      </c>
    </row>
    <row r="881" spans="1:5" x14ac:dyDescent="0.25">
      <c r="A881" s="3" t="s">
        <v>5</v>
      </c>
      <c r="B881" s="3" t="s">
        <v>544</v>
      </c>
      <c r="C881" s="3" t="s">
        <v>34</v>
      </c>
      <c r="D881" s="4">
        <f>HYPERLINK("https://cao.dolgi.msk.ru/account/1060733251/", 1060733251)</f>
        <v>1060733251</v>
      </c>
      <c r="E881" s="3">
        <v>75994.17</v>
      </c>
    </row>
    <row r="882" spans="1:5" x14ac:dyDescent="0.25">
      <c r="A882" s="3" t="s">
        <v>5</v>
      </c>
      <c r="B882" s="3" t="s">
        <v>544</v>
      </c>
      <c r="C882" s="3" t="s">
        <v>72</v>
      </c>
      <c r="D882" s="4">
        <f>HYPERLINK("https://cao.dolgi.msk.ru/account/1060733649/", 1060733649)</f>
        <v>1060733649</v>
      </c>
      <c r="E882" s="3">
        <v>102939.25</v>
      </c>
    </row>
    <row r="883" spans="1:5" x14ac:dyDescent="0.25">
      <c r="A883" s="3" t="s">
        <v>5</v>
      </c>
      <c r="B883" s="3" t="s">
        <v>544</v>
      </c>
      <c r="C883" s="3" t="s">
        <v>79</v>
      </c>
      <c r="D883" s="4">
        <f>HYPERLINK("https://cao.dolgi.msk.ru/account/1060733737/", 1060733737)</f>
        <v>1060733737</v>
      </c>
      <c r="E883" s="3">
        <v>16291.02</v>
      </c>
    </row>
    <row r="884" spans="1:5" x14ac:dyDescent="0.25">
      <c r="A884" s="3" t="s">
        <v>5</v>
      </c>
      <c r="B884" s="3" t="s">
        <v>544</v>
      </c>
      <c r="C884" s="3" t="s">
        <v>82</v>
      </c>
      <c r="D884" s="4">
        <f>HYPERLINK("https://cao.dolgi.msk.ru/account/1060733761/", 1060733761)</f>
        <v>1060733761</v>
      </c>
      <c r="E884" s="3">
        <v>100212.97</v>
      </c>
    </row>
    <row r="885" spans="1:5" x14ac:dyDescent="0.25">
      <c r="A885" s="3" t="s">
        <v>5</v>
      </c>
      <c r="B885" s="3" t="s">
        <v>544</v>
      </c>
      <c r="C885" s="3" t="s">
        <v>83</v>
      </c>
      <c r="D885" s="4">
        <f>HYPERLINK("https://cao.dolgi.msk.ru/account/1060733788/", 1060733788)</f>
        <v>1060733788</v>
      </c>
      <c r="E885" s="3">
        <v>14723.3</v>
      </c>
    </row>
    <row r="886" spans="1:5" x14ac:dyDescent="0.25">
      <c r="A886" s="3" t="s">
        <v>5</v>
      </c>
      <c r="B886" s="3" t="s">
        <v>544</v>
      </c>
      <c r="C886" s="3" t="s">
        <v>84</v>
      </c>
      <c r="D886" s="4">
        <f>HYPERLINK("https://cao.dolgi.msk.ru/account/1060733796/", 1060733796)</f>
        <v>1060733796</v>
      </c>
      <c r="E886" s="3">
        <v>59558.720000000001</v>
      </c>
    </row>
    <row r="887" spans="1:5" x14ac:dyDescent="0.25">
      <c r="A887" s="3" t="s">
        <v>5</v>
      </c>
      <c r="B887" s="3" t="s">
        <v>544</v>
      </c>
      <c r="C887" s="3" t="s">
        <v>86</v>
      </c>
      <c r="D887" s="4">
        <f>HYPERLINK("https://cao.dolgi.msk.ru/account/1060733817/", 1060733817)</f>
        <v>1060733817</v>
      </c>
      <c r="E887" s="3">
        <v>5986.62</v>
      </c>
    </row>
    <row r="888" spans="1:5" x14ac:dyDescent="0.25">
      <c r="A888" s="3" t="s">
        <v>5</v>
      </c>
      <c r="B888" s="3" t="s">
        <v>544</v>
      </c>
      <c r="C888" s="3" t="s">
        <v>103</v>
      </c>
      <c r="D888" s="4">
        <f>HYPERLINK("https://cao.dolgi.msk.ru/account/1060734019/", 1060734019)</f>
        <v>1060734019</v>
      </c>
      <c r="E888" s="3">
        <v>43585.97</v>
      </c>
    </row>
    <row r="889" spans="1:5" x14ac:dyDescent="0.25">
      <c r="A889" s="3" t="s">
        <v>5</v>
      </c>
      <c r="B889" s="3" t="s">
        <v>545</v>
      </c>
      <c r="C889" s="3" t="s">
        <v>130</v>
      </c>
      <c r="D889" s="4">
        <f>HYPERLINK("https://cao.dolgi.msk.ru/account/1060737607/", 1060737607)</f>
        <v>1060737607</v>
      </c>
      <c r="E889" s="3">
        <v>23318.09</v>
      </c>
    </row>
    <row r="890" spans="1:5" x14ac:dyDescent="0.25">
      <c r="A890" s="3" t="s">
        <v>5</v>
      </c>
      <c r="B890" s="3" t="s">
        <v>545</v>
      </c>
      <c r="C890" s="3" t="s">
        <v>10</v>
      </c>
      <c r="D890" s="4">
        <f>HYPERLINK("https://cao.dolgi.msk.ru/account/1060737834/", 1060737834)</f>
        <v>1060737834</v>
      </c>
      <c r="E890" s="3">
        <v>20722.12</v>
      </c>
    </row>
    <row r="891" spans="1:5" x14ac:dyDescent="0.25">
      <c r="A891" s="3" t="s">
        <v>5</v>
      </c>
      <c r="B891" s="3" t="s">
        <v>545</v>
      </c>
      <c r="C891" s="3" t="s">
        <v>13</v>
      </c>
      <c r="D891" s="4">
        <f>HYPERLINK("https://cao.dolgi.msk.ru/account/1060737877/", 1060737877)</f>
        <v>1060737877</v>
      </c>
      <c r="E891" s="3">
        <v>4860.82</v>
      </c>
    </row>
    <row r="892" spans="1:5" x14ac:dyDescent="0.25">
      <c r="A892" s="3" t="s">
        <v>5</v>
      </c>
      <c r="B892" s="3" t="s">
        <v>545</v>
      </c>
      <c r="C892" s="3" t="s">
        <v>23</v>
      </c>
      <c r="D892" s="4">
        <f>HYPERLINK("https://cao.dolgi.msk.ru/account/1060737981/", 1060737981)</f>
        <v>1060737981</v>
      </c>
      <c r="E892" s="3">
        <v>10435.23</v>
      </c>
    </row>
    <row r="893" spans="1:5" x14ac:dyDescent="0.25">
      <c r="A893" s="3" t="s">
        <v>5</v>
      </c>
      <c r="B893" s="3" t="s">
        <v>545</v>
      </c>
      <c r="C893" s="3" t="s">
        <v>26</v>
      </c>
      <c r="D893" s="4">
        <f>HYPERLINK("https://cao.dolgi.msk.ru/account/1060738036/", 1060738036)</f>
        <v>1060738036</v>
      </c>
      <c r="E893" s="3">
        <v>70521.5</v>
      </c>
    </row>
    <row r="894" spans="1:5" x14ac:dyDescent="0.25">
      <c r="A894" s="3" t="s">
        <v>5</v>
      </c>
      <c r="B894" s="3" t="s">
        <v>546</v>
      </c>
      <c r="C894" s="3" t="s">
        <v>30</v>
      </c>
      <c r="D894" s="4">
        <f>HYPERLINK("https://cao.dolgi.msk.ru/account/1060413725/", 1060413725)</f>
        <v>1060413725</v>
      </c>
      <c r="E894" s="3">
        <v>4491.1099999999997</v>
      </c>
    </row>
    <row r="895" spans="1:5" x14ac:dyDescent="0.25">
      <c r="A895" s="3" t="s">
        <v>5</v>
      </c>
      <c r="B895" s="3" t="s">
        <v>546</v>
      </c>
      <c r="C895" s="3" t="s">
        <v>16</v>
      </c>
      <c r="D895" s="4">
        <f>HYPERLINK("https://cao.dolgi.msk.ru/account/1060414023/", 1060414023)</f>
        <v>1060414023</v>
      </c>
      <c r="E895" s="3">
        <v>6808.57</v>
      </c>
    </row>
    <row r="896" spans="1:5" x14ac:dyDescent="0.25">
      <c r="A896" s="3" t="s">
        <v>5</v>
      </c>
      <c r="B896" s="3" t="s">
        <v>546</v>
      </c>
      <c r="C896" s="3" t="s">
        <v>22</v>
      </c>
      <c r="D896" s="4">
        <f>HYPERLINK("https://cao.dolgi.msk.ru/account/1060414103/", 1060414103)</f>
        <v>1060414103</v>
      </c>
      <c r="E896" s="3">
        <v>4988.97</v>
      </c>
    </row>
    <row r="897" spans="1:5" x14ac:dyDescent="0.25">
      <c r="A897" s="3" t="s">
        <v>5</v>
      </c>
      <c r="B897" s="3" t="s">
        <v>546</v>
      </c>
      <c r="C897" s="3" t="s">
        <v>43</v>
      </c>
      <c r="D897" s="4">
        <f>HYPERLINK("https://cao.dolgi.msk.ru/account/1060414357/", 1060414357)</f>
        <v>1060414357</v>
      </c>
      <c r="E897" s="3">
        <v>24915.18</v>
      </c>
    </row>
    <row r="898" spans="1:5" x14ac:dyDescent="0.25">
      <c r="A898" s="3" t="s">
        <v>5</v>
      </c>
      <c r="B898" s="3" t="s">
        <v>546</v>
      </c>
      <c r="C898" s="3" t="s">
        <v>86</v>
      </c>
      <c r="D898" s="4">
        <f>HYPERLINK("https://cao.dolgi.msk.ru/account/1060414808/", 1060414808)</f>
        <v>1060414808</v>
      </c>
      <c r="E898" s="3">
        <v>7926.66</v>
      </c>
    </row>
    <row r="899" spans="1:5" x14ac:dyDescent="0.25">
      <c r="A899" s="3" t="s">
        <v>5</v>
      </c>
      <c r="B899" s="3" t="s">
        <v>547</v>
      </c>
      <c r="C899" s="3" t="s">
        <v>8</v>
      </c>
      <c r="D899" s="4">
        <f>HYPERLINK("https://cao.dolgi.msk.ru/account/1060414875/", 1060414875)</f>
        <v>1060414875</v>
      </c>
      <c r="E899" s="3">
        <v>284469.67</v>
      </c>
    </row>
    <row r="900" spans="1:5" x14ac:dyDescent="0.25">
      <c r="A900" s="3" t="s">
        <v>5</v>
      </c>
      <c r="B900" s="3" t="s">
        <v>547</v>
      </c>
      <c r="C900" s="3" t="s">
        <v>89</v>
      </c>
      <c r="D900" s="4">
        <f>HYPERLINK("https://cao.dolgi.msk.ru/account/1060414939/", 1060414939)</f>
        <v>1060414939</v>
      </c>
      <c r="E900" s="3">
        <v>7906.56</v>
      </c>
    </row>
    <row r="901" spans="1:5" x14ac:dyDescent="0.25">
      <c r="A901" s="3" t="s">
        <v>5</v>
      </c>
      <c r="B901" s="3" t="s">
        <v>547</v>
      </c>
      <c r="C901" s="3" t="s">
        <v>11</v>
      </c>
      <c r="D901" s="4">
        <f>HYPERLINK("https://cao.dolgi.msk.ru/account/1060415122/", 1060415122)</f>
        <v>1060415122</v>
      </c>
      <c r="E901" s="3">
        <v>2388.0300000000002</v>
      </c>
    </row>
    <row r="902" spans="1:5" x14ac:dyDescent="0.25">
      <c r="A902" s="3" t="s">
        <v>5</v>
      </c>
      <c r="B902" s="3" t="s">
        <v>547</v>
      </c>
      <c r="C902" s="3" t="s">
        <v>12</v>
      </c>
      <c r="D902" s="4">
        <f>HYPERLINK("https://cao.dolgi.msk.ru/account/1060415149/", 1060415149)</f>
        <v>1060415149</v>
      </c>
      <c r="E902" s="3">
        <v>227566.72</v>
      </c>
    </row>
    <row r="903" spans="1:5" x14ac:dyDescent="0.25">
      <c r="A903" s="3" t="s">
        <v>5</v>
      </c>
      <c r="B903" s="3" t="s">
        <v>547</v>
      </c>
      <c r="C903" s="3" t="s">
        <v>14</v>
      </c>
      <c r="D903" s="4">
        <f>HYPERLINK("https://cao.dolgi.msk.ru/account/1060415165/", 1060415165)</f>
        <v>1060415165</v>
      </c>
      <c r="E903" s="3">
        <v>16197.56</v>
      </c>
    </row>
    <row r="904" spans="1:5" x14ac:dyDescent="0.25">
      <c r="A904" s="3" t="s">
        <v>5</v>
      </c>
      <c r="B904" s="3" t="s">
        <v>547</v>
      </c>
      <c r="C904" s="3" t="s">
        <v>17</v>
      </c>
      <c r="D904" s="4">
        <f>HYPERLINK("https://cao.dolgi.msk.ru/account/1060415202/", 1060415202)</f>
        <v>1060415202</v>
      </c>
      <c r="E904" s="3">
        <v>25547.47</v>
      </c>
    </row>
    <row r="905" spans="1:5" x14ac:dyDescent="0.25">
      <c r="A905" s="3" t="s">
        <v>5</v>
      </c>
      <c r="B905" s="3" t="s">
        <v>547</v>
      </c>
      <c r="C905" s="3" t="s">
        <v>23</v>
      </c>
      <c r="D905" s="4">
        <f>HYPERLINK("https://cao.dolgi.msk.ru/account/1060415288/", 1060415288)</f>
        <v>1060415288</v>
      </c>
      <c r="E905" s="3">
        <v>4947.1899999999996</v>
      </c>
    </row>
    <row r="906" spans="1:5" x14ac:dyDescent="0.25">
      <c r="A906" s="3" t="s">
        <v>5</v>
      </c>
      <c r="B906" s="3" t="s">
        <v>547</v>
      </c>
      <c r="C906" s="3" t="s">
        <v>26</v>
      </c>
      <c r="D906" s="4">
        <f>HYPERLINK("https://cao.dolgi.msk.ru/account/1060415317/", 1060415317)</f>
        <v>1060415317</v>
      </c>
      <c r="E906" s="3">
        <v>4059.5</v>
      </c>
    </row>
    <row r="907" spans="1:5" x14ac:dyDescent="0.25">
      <c r="A907" s="3" t="s">
        <v>5</v>
      </c>
      <c r="B907" s="3" t="s">
        <v>547</v>
      </c>
      <c r="C907" s="3" t="s">
        <v>33</v>
      </c>
      <c r="D907" s="4">
        <f>HYPERLINK("https://cao.dolgi.msk.ru/account/1060415384/", 1060415384)</f>
        <v>1060415384</v>
      </c>
      <c r="E907" s="3">
        <v>12526.38</v>
      </c>
    </row>
    <row r="908" spans="1:5" x14ac:dyDescent="0.25">
      <c r="A908" s="3" t="s">
        <v>5</v>
      </c>
      <c r="B908" s="3" t="s">
        <v>547</v>
      </c>
      <c r="C908" s="3" t="s">
        <v>35</v>
      </c>
      <c r="D908" s="4">
        <f>HYPERLINK("https://cao.dolgi.msk.ru/account/1060415405/", 1060415405)</f>
        <v>1060415405</v>
      </c>
      <c r="E908" s="3">
        <v>298917.49</v>
      </c>
    </row>
    <row r="909" spans="1:5" x14ac:dyDescent="0.25">
      <c r="A909" s="3" t="s">
        <v>5</v>
      </c>
      <c r="B909" s="3" t="s">
        <v>547</v>
      </c>
      <c r="C909" s="3" t="s">
        <v>38</v>
      </c>
      <c r="D909" s="4">
        <f>HYPERLINK("https://cao.dolgi.msk.ru/account/1060415448/", 1060415448)</f>
        <v>1060415448</v>
      </c>
      <c r="E909" s="3">
        <v>20029.37</v>
      </c>
    </row>
    <row r="910" spans="1:5" x14ac:dyDescent="0.25">
      <c r="A910" s="3" t="s">
        <v>5</v>
      </c>
      <c r="B910" s="3" t="s">
        <v>547</v>
      </c>
      <c r="C910" s="3" t="s">
        <v>52</v>
      </c>
      <c r="D910" s="4">
        <f>HYPERLINK("https://cao.dolgi.msk.ru/account/1060415608/", 1060415608)</f>
        <v>1060415608</v>
      </c>
      <c r="E910" s="3">
        <v>20288.580000000002</v>
      </c>
    </row>
    <row r="911" spans="1:5" x14ac:dyDescent="0.25">
      <c r="A911" s="3" t="s">
        <v>5</v>
      </c>
      <c r="B911" s="3" t="s">
        <v>547</v>
      </c>
      <c r="C911" s="3" t="s">
        <v>63</v>
      </c>
      <c r="D911" s="4">
        <f>HYPERLINK("https://cao.dolgi.msk.ru/account/1060415739/", 1060415739)</f>
        <v>1060415739</v>
      </c>
      <c r="E911" s="3">
        <v>4895.72</v>
      </c>
    </row>
    <row r="912" spans="1:5" x14ac:dyDescent="0.25">
      <c r="A912" s="3" t="s">
        <v>5</v>
      </c>
      <c r="B912" s="3" t="s">
        <v>547</v>
      </c>
      <c r="C912" s="3" t="s">
        <v>78</v>
      </c>
      <c r="D912" s="4">
        <f>HYPERLINK("https://cao.dolgi.msk.ru/account/1060415851/", 1060415851)</f>
        <v>1060415851</v>
      </c>
      <c r="E912" s="3">
        <v>50657.36</v>
      </c>
    </row>
    <row r="913" spans="1:5" x14ac:dyDescent="0.25">
      <c r="A913" s="3" t="s">
        <v>5</v>
      </c>
      <c r="B913" s="3" t="s">
        <v>548</v>
      </c>
      <c r="C913" s="3" t="s">
        <v>130</v>
      </c>
      <c r="D913" s="4">
        <f>HYPERLINK("https://cao.dolgi.msk.ru/account/1060880155/", 1060880155)</f>
        <v>1060880155</v>
      </c>
      <c r="E913" s="3">
        <v>57749.29</v>
      </c>
    </row>
    <row r="914" spans="1:5" x14ac:dyDescent="0.25">
      <c r="A914" s="3" t="s">
        <v>5</v>
      </c>
      <c r="B914" s="3" t="s">
        <v>548</v>
      </c>
      <c r="C914" s="3" t="s">
        <v>132</v>
      </c>
      <c r="D914" s="4">
        <f>HYPERLINK("https://cao.dolgi.msk.ru/account/1060870889/", 1060870889)</f>
        <v>1060870889</v>
      </c>
      <c r="E914" s="3">
        <v>38532.400000000001</v>
      </c>
    </row>
    <row r="915" spans="1:5" x14ac:dyDescent="0.25">
      <c r="A915" s="3" t="s">
        <v>5</v>
      </c>
      <c r="B915" s="3" t="s">
        <v>548</v>
      </c>
      <c r="C915" s="3" t="s">
        <v>32</v>
      </c>
      <c r="D915" s="4">
        <f>HYPERLINK("https://cao.dolgi.msk.ru/account/1060880251/", 1060880251)</f>
        <v>1060880251</v>
      </c>
      <c r="E915" s="3">
        <v>5757.15</v>
      </c>
    </row>
    <row r="916" spans="1:5" x14ac:dyDescent="0.25">
      <c r="A916" s="3" t="s">
        <v>5</v>
      </c>
      <c r="B916" s="3" t="s">
        <v>548</v>
      </c>
      <c r="C916" s="3" t="s">
        <v>36</v>
      </c>
      <c r="D916" s="4">
        <f>HYPERLINK("https://cao.dolgi.msk.ru/account/1060870088/", 1060870088)</f>
        <v>1060870088</v>
      </c>
      <c r="E916" s="3">
        <v>10387.14</v>
      </c>
    </row>
    <row r="917" spans="1:5" x14ac:dyDescent="0.25">
      <c r="A917" s="3" t="s">
        <v>5</v>
      </c>
      <c r="B917" s="3" t="s">
        <v>548</v>
      </c>
      <c r="C917" s="3" t="s">
        <v>37</v>
      </c>
      <c r="D917" s="4">
        <f>HYPERLINK("https://cao.dolgi.msk.ru/account/1060870096/", 1060870096)</f>
        <v>1060870096</v>
      </c>
      <c r="E917" s="3">
        <v>8107.57</v>
      </c>
    </row>
    <row r="918" spans="1:5" x14ac:dyDescent="0.25">
      <c r="A918" s="3" t="s">
        <v>5</v>
      </c>
      <c r="B918" s="3" t="s">
        <v>548</v>
      </c>
      <c r="C918" s="3" t="s">
        <v>57</v>
      </c>
      <c r="D918" s="4">
        <f>HYPERLINK("https://cao.dolgi.msk.ru/account/1060871224/", 1060871224)</f>
        <v>1060871224</v>
      </c>
      <c r="E918" s="3">
        <v>14588.59</v>
      </c>
    </row>
    <row r="919" spans="1:5" x14ac:dyDescent="0.25">
      <c r="A919" s="3" t="s">
        <v>5</v>
      </c>
      <c r="B919" s="3" t="s">
        <v>548</v>
      </c>
      <c r="C919" s="3" t="s">
        <v>65</v>
      </c>
      <c r="D919" s="4">
        <f>HYPERLINK("https://cao.dolgi.msk.ru/account/1060877423/", 1060877423)</f>
        <v>1060877423</v>
      </c>
      <c r="E919" s="3">
        <v>7249.34</v>
      </c>
    </row>
    <row r="920" spans="1:5" x14ac:dyDescent="0.25">
      <c r="A920" s="3" t="s">
        <v>5</v>
      </c>
      <c r="B920" s="3" t="s">
        <v>548</v>
      </c>
      <c r="C920" s="3" t="s">
        <v>73</v>
      </c>
      <c r="D920" s="4">
        <f>HYPERLINK("https://cao.dolgi.msk.ru/account/1060865908/", 1060865908)</f>
        <v>1060865908</v>
      </c>
      <c r="E920" s="3">
        <v>18057.27</v>
      </c>
    </row>
    <row r="921" spans="1:5" x14ac:dyDescent="0.25">
      <c r="A921" s="3" t="s">
        <v>5</v>
      </c>
      <c r="B921" s="3" t="s">
        <v>548</v>
      </c>
      <c r="C921" s="3" t="s">
        <v>78</v>
      </c>
      <c r="D921" s="4">
        <f>HYPERLINK("https://cao.dolgi.msk.ru/account/1060876551/", 1060876551)</f>
        <v>1060876551</v>
      </c>
      <c r="E921" s="3">
        <v>17657.830000000002</v>
      </c>
    </row>
    <row r="922" spans="1:5" x14ac:dyDescent="0.25">
      <c r="A922" s="3" t="s">
        <v>5</v>
      </c>
      <c r="B922" s="3" t="s">
        <v>548</v>
      </c>
      <c r="C922" s="3" t="s">
        <v>80</v>
      </c>
      <c r="D922" s="4">
        <f>HYPERLINK("https://cao.dolgi.msk.ru/account/1060889774/", 1060889774)</f>
        <v>1060889774</v>
      </c>
      <c r="E922" s="3">
        <v>13741.86</v>
      </c>
    </row>
    <row r="923" spans="1:5" x14ac:dyDescent="0.25">
      <c r="A923" s="3" t="s">
        <v>5</v>
      </c>
      <c r="B923" s="3" t="s">
        <v>548</v>
      </c>
      <c r="C923" s="3" t="s">
        <v>85</v>
      </c>
      <c r="D923" s="4">
        <f>HYPERLINK("https://cao.dolgi.msk.ru/account/1060863427/", 1060863427)</f>
        <v>1060863427</v>
      </c>
      <c r="E923" s="3">
        <v>137167.5</v>
      </c>
    </row>
    <row r="924" spans="1:5" x14ac:dyDescent="0.25">
      <c r="A924" s="3" t="s">
        <v>5</v>
      </c>
      <c r="B924" s="3" t="s">
        <v>548</v>
      </c>
      <c r="C924" s="3" t="s">
        <v>93</v>
      </c>
      <c r="D924" s="4">
        <f>HYPERLINK("https://cao.dolgi.msk.ru/account/1060862053/", 1060862053)</f>
        <v>1060862053</v>
      </c>
      <c r="E924" s="3">
        <v>19518.830000000002</v>
      </c>
    </row>
    <row r="925" spans="1:5" x14ac:dyDescent="0.25">
      <c r="A925" s="3" t="s">
        <v>5</v>
      </c>
      <c r="B925" s="3" t="s">
        <v>548</v>
      </c>
      <c r="C925" s="3" t="s">
        <v>94</v>
      </c>
      <c r="D925" s="4">
        <f>HYPERLINK("https://cao.dolgi.msk.ru/account/1060887859/", 1060887859)</f>
        <v>1060887859</v>
      </c>
      <c r="E925" s="3">
        <v>16173</v>
      </c>
    </row>
    <row r="926" spans="1:5" x14ac:dyDescent="0.25">
      <c r="A926" s="3" t="s">
        <v>5</v>
      </c>
      <c r="B926" s="3" t="s">
        <v>548</v>
      </c>
      <c r="C926" s="3" t="s">
        <v>98</v>
      </c>
      <c r="D926" s="4">
        <f>HYPERLINK("https://cao.dolgi.msk.ru/account/1060877909/", 1060877909)</f>
        <v>1060877909</v>
      </c>
      <c r="E926" s="3">
        <v>8130.94</v>
      </c>
    </row>
    <row r="927" spans="1:5" x14ac:dyDescent="0.25">
      <c r="A927" s="3" t="s">
        <v>5</v>
      </c>
      <c r="B927" s="3" t="s">
        <v>548</v>
      </c>
      <c r="C927" s="3" t="s">
        <v>99</v>
      </c>
      <c r="D927" s="4">
        <f>HYPERLINK("https://cao.dolgi.msk.ru/account/1060862774/", 1060862774)</f>
        <v>1060862774</v>
      </c>
      <c r="E927" s="3">
        <v>40942.839999999997</v>
      </c>
    </row>
    <row r="928" spans="1:5" x14ac:dyDescent="0.25">
      <c r="A928" s="3" t="s">
        <v>5</v>
      </c>
      <c r="B928" s="3" t="s">
        <v>548</v>
      </c>
      <c r="C928" s="3" t="s">
        <v>147</v>
      </c>
      <c r="D928" s="4">
        <f>HYPERLINK("https://cao.dolgi.msk.ru/account/1060869685/", 1060869685)</f>
        <v>1060869685</v>
      </c>
      <c r="E928" s="3">
        <v>8136.43</v>
      </c>
    </row>
    <row r="929" spans="1:5" x14ac:dyDescent="0.25">
      <c r="A929" s="3" t="s">
        <v>5</v>
      </c>
      <c r="B929" s="3" t="s">
        <v>548</v>
      </c>
      <c r="C929" s="3" t="s">
        <v>110</v>
      </c>
      <c r="D929" s="4">
        <f>HYPERLINK("https://cao.dolgi.msk.ru/account/1060880366/", 1060880366)</f>
        <v>1060880366</v>
      </c>
      <c r="E929" s="3">
        <v>9487.9599999999991</v>
      </c>
    </row>
    <row r="930" spans="1:5" x14ac:dyDescent="0.25">
      <c r="A930" s="3" t="s">
        <v>5</v>
      </c>
      <c r="B930" s="3" t="s">
        <v>548</v>
      </c>
      <c r="C930" s="3" t="s">
        <v>168</v>
      </c>
      <c r="D930" s="4">
        <f>HYPERLINK("https://cao.dolgi.msk.ru/account/1060863435/", 1060863435)</f>
        <v>1060863435</v>
      </c>
      <c r="E930" s="3">
        <v>155213.57999999999</v>
      </c>
    </row>
    <row r="931" spans="1:5" x14ac:dyDescent="0.25">
      <c r="A931" s="3" t="s">
        <v>5</v>
      </c>
      <c r="B931" s="3" t="s">
        <v>548</v>
      </c>
      <c r="C931" s="3" t="s">
        <v>171</v>
      </c>
      <c r="D931" s="4">
        <f>HYPERLINK("https://cao.dolgi.msk.ru/account/1060869837/", 1060869837)</f>
        <v>1060869837</v>
      </c>
      <c r="E931" s="3">
        <v>10552.91</v>
      </c>
    </row>
    <row r="932" spans="1:5" x14ac:dyDescent="0.25">
      <c r="A932" s="3" t="s">
        <v>5</v>
      </c>
      <c r="B932" s="3" t="s">
        <v>548</v>
      </c>
      <c r="C932" s="3" t="s">
        <v>174</v>
      </c>
      <c r="D932" s="4">
        <f>HYPERLINK("https://cao.dolgi.msk.ru/account/1060862109/", 1060862109)</f>
        <v>1060862109</v>
      </c>
      <c r="E932" s="3">
        <v>13400.83</v>
      </c>
    </row>
    <row r="933" spans="1:5" x14ac:dyDescent="0.25">
      <c r="A933" s="3" t="s">
        <v>5</v>
      </c>
      <c r="B933" s="3" t="s">
        <v>548</v>
      </c>
      <c r="C933" s="3" t="s">
        <v>180</v>
      </c>
      <c r="D933" s="4">
        <f>HYPERLINK("https://cao.dolgi.msk.ru/account/1060895541/", 1060895541)</f>
        <v>1060895541</v>
      </c>
      <c r="E933" s="3">
        <v>9727.39</v>
      </c>
    </row>
    <row r="934" spans="1:5" x14ac:dyDescent="0.25">
      <c r="A934" s="3" t="s">
        <v>5</v>
      </c>
      <c r="B934" s="3" t="s">
        <v>548</v>
      </c>
      <c r="C934" s="3" t="s">
        <v>183</v>
      </c>
      <c r="D934" s="4">
        <f>HYPERLINK("https://cao.dolgi.msk.ru/account/1060880526/", 1060880526)</f>
        <v>1060880526</v>
      </c>
      <c r="E934" s="3">
        <v>65960.679999999993</v>
      </c>
    </row>
    <row r="935" spans="1:5" x14ac:dyDescent="0.25">
      <c r="A935" s="3" t="s">
        <v>5</v>
      </c>
      <c r="B935" s="3" t="s">
        <v>548</v>
      </c>
      <c r="C935" s="3" t="s">
        <v>188</v>
      </c>
      <c r="D935" s="4">
        <f>HYPERLINK("https://cao.dolgi.msk.ru/account/1060869204/", 1060869204)</f>
        <v>1060869204</v>
      </c>
      <c r="E935" s="3">
        <v>4026.48</v>
      </c>
    </row>
    <row r="936" spans="1:5" x14ac:dyDescent="0.25">
      <c r="A936" s="3" t="s">
        <v>5</v>
      </c>
      <c r="B936" s="3" t="s">
        <v>548</v>
      </c>
      <c r="C936" s="3" t="s">
        <v>198</v>
      </c>
      <c r="D936" s="4">
        <f>HYPERLINK("https://cao.dolgi.msk.ru/account/1060895074/", 1060895074)</f>
        <v>1060895074</v>
      </c>
      <c r="E936" s="3">
        <v>42941.85</v>
      </c>
    </row>
    <row r="937" spans="1:5" x14ac:dyDescent="0.25">
      <c r="A937" s="3" t="s">
        <v>5</v>
      </c>
      <c r="B937" s="3" t="s">
        <v>548</v>
      </c>
      <c r="C937" s="3" t="s">
        <v>201</v>
      </c>
      <c r="D937" s="4">
        <f>HYPERLINK("https://cao.dolgi.msk.ru/account/1060876113/", 1060876113)</f>
        <v>1060876113</v>
      </c>
      <c r="E937" s="3">
        <v>9735.5</v>
      </c>
    </row>
    <row r="938" spans="1:5" x14ac:dyDescent="0.25">
      <c r="A938" s="3" t="s">
        <v>5</v>
      </c>
      <c r="B938" s="3" t="s">
        <v>548</v>
      </c>
      <c r="C938" s="3" t="s">
        <v>217</v>
      </c>
      <c r="D938" s="4">
        <f>HYPERLINK("https://cao.dolgi.msk.ru/account/1060903708/", 1060903708)</f>
        <v>1060903708</v>
      </c>
      <c r="E938" s="3">
        <v>11506.77</v>
      </c>
    </row>
    <row r="939" spans="1:5" x14ac:dyDescent="0.25">
      <c r="A939" s="3" t="s">
        <v>5</v>
      </c>
      <c r="B939" s="3" t="s">
        <v>548</v>
      </c>
      <c r="C939" s="3" t="s">
        <v>218</v>
      </c>
      <c r="D939" s="4">
        <f>HYPERLINK("https://cao.dolgi.msk.ru/account/1060896026/", 1060896026)</f>
        <v>1060896026</v>
      </c>
      <c r="E939" s="3">
        <v>83492</v>
      </c>
    </row>
    <row r="940" spans="1:5" x14ac:dyDescent="0.25">
      <c r="A940" s="3" t="s">
        <v>5</v>
      </c>
      <c r="B940" s="3" t="s">
        <v>548</v>
      </c>
      <c r="C940" s="3" t="s">
        <v>232</v>
      </c>
      <c r="D940" s="4">
        <f>HYPERLINK("https://cao.dolgi.msk.ru/account/1060868965/", 1060868965)</f>
        <v>1060868965</v>
      </c>
      <c r="E940" s="3">
        <v>38818.660000000003</v>
      </c>
    </row>
    <row r="941" spans="1:5" x14ac:dyDescent="0.25">
      <c r="A941" s="3" t="s">
        <v>5</v>
      </c>
      <c r="B941" s="3" t="s">
        <v>548</v>
      </c>
      <c r="C941" s="3" t="s">
        <v>234</v>
      </c>
      <c r="D941" s="4">
        <f>HYPERLINK("https://cao.dolgi.msk.ru/account/1060870934/", 1060870934)</f>
        <v>1060870934</v>
      </c>
      <c r="E941" s="3">
        <v>14056.13</v>
      </c>
    </row>
    <row r="942" spans="1:5" x14ac:dyDescent="0.25">
      <c r="A942" s="3" t="s">
        <v>5</v>
      </c>
      <c r="B942" s="3" t="s">
        <v>549</v>
      </c>
      <c r="C942" s="3" t="s">
        <v>15</v>
      </c>
      <c r="D942" s="4">
        <f>HYPERLINK("https://cao.dolgi.msk.ru/account/1060416344/", 1060416344)</f>
        <v>1060416344</v>
      </c>
      <c r="E942" s="3">
        <v>503514.59</v>
      </c>
    </row>
    <row r="943" spans="1:5" x14ac:dyDescent="0.25">
      <c r="A943" s="3" t="s">
        <v>5</v>
      </c>
      <c r="B943" s="3" t="s">
        <v>549</v>
      </c>
      <c r="C943" s="3" t="s">
        <v>17</v>
      </c>
      <c r="D943" s="4">
        <f>HYPERLINK("https://cao.dolgi.msk.ru/account/1060416379/", 1060416379)</f>
        <v>1060416379</v>
      </c>
      <c r="E943" s="3">
        <v>8941.49</v>
      </c>
    </row>
    <row r="944" spans="1:5" x14ac:dyDescent="0.25">
      <c r="A944" s="3" t="s">
        <v>5</v>
      </c>
      <c r="B944" s="3" t="s">
        <v>549</v>
      </c>
      <c r="C944" s="3" t="s">
        <v>23</v>
      </c>
      <c r="D944" s="4">
        <f>HYPERLINK("https://cao.dolgi.msk.ru/account/1060416475/", 1060416475)</f>
        <v>1060416475</v>
      </c>
      <c r="E944" s="3">
        <v>12777.07</v>
      </c>
    </row>
    <row r="945" spans="1:5" x14ac:dyDescent="0.25">
      <c r="A945" s="3" t="s">
        <v>5</v>
      </c>
      <c r="B945" s="3" t="s">
        <v>549</v>
      </c>
      <c r="C945" s="3" t="s">
        <v>26</v>
      </c>
      <c r="D945" s="4">
        <f>HYPERLINK("https://cao.dolgi.msk.ru/account/1060416504/", 1060416504)</f>
        <v>1060416504</v>
      </c>
      <c r="E945" s="3">
        <v>36213.980000000003</v>
      </c>
    </row>
    <row r="946" spans="1:5" x14ac:dyDescent="0.25">
      <c r="A946" s="3" t="s">
        <v>5</v>
      </c>
      <c r="B946" s="3" t="s">
        <v>550</v>
      </c>
      <c r="C946" s="3" t="s">
        <v>35</v>
      </c>
      <c r="D946" s="4">
        <f>HYPERLINK("https://cao.dolgi.msk.ru/account/1060416643/", 1060416643)</f>
        <v>1060416643</v>
      </c>
      <c r="E946" s="3">
        <v>25018.77</v>
      </c>
    </row>
    <row r="947" spans="1:5" x14ac:dyDescent="0.25">
      <c r="A947" s="3" t="s">
        <v>5</v>
      </c>
      <c r="B947" s="3" t="s">
        <v>550</v>
      </c>
      <c r="C947" s="3" t="s">
        <v>43</v>
      </c>
      <c r="D947" s="4">
        <f>HYPERLINK("https://cao.dolgi.msk.ru/account/1060416766/", 1060416766)</f>
        <v>1060416766</v>
      </c>
      <c r="E947" s="3">
        <v>53415.02</v>
      </c>
    </row>
    <row r="948" spans="1:5" x14ac:dyDescent="0.25">
      <c r="A948" s="3" t="s">
        <v>5</v>
      </c>
      <c r="B948" s="3" t="s">
        <v>551</v>
      </c>
      <c r="C948" s="3" t="s">
        <v>130</v>
      </c>
      <c r="D948" s="4">
        <f>HYPERLINK("https://cao.dolgi.msk.ru/account/1060446412/", 1060446412)</f>
        <v>1060446412</v>
      </c>
      <c r="E948" s="3">
        <v>17677.18</v>
      </c>
    </row>
    <row r="949" spans="1:5" x14ac:dyDescent="0.25">
      <c r="A949" s="3" t="s">
        <v>5</v>
      </c>
      <c r="B949" s="3" t="s">
        <v>551</v>
      </c>
      <c r="C949" s="3" t="s">
        <v>9</v>
      </c>
      <c r="D949" s="4">
        <f>HYPERLINK("https://cao.dolgi.msk.ru/account/1060446447/", 1060446447)</f>
        <v>1060446447</v>
      </c>
      <c r="E949" s="3">
        <v>39948.379999999997</v>
      </c>
    </row>
    <row r="950" spans="1:5" x14ac:dyDescent="0.25">
      <c r="A950" s="3" t="s">
        <v>5</v>
      </c>
      <c r="B950" s="3" t="s">
        <v>551</v>
      </c>
      <c r="C950" s="3" t="s">
        <v>140</v>
      </c>
      <c r="D950" s="4">
        <f>HYPERLINK("https://cao.dolgi.msk.ru/account/1060446586/", 1060446586)</f>
        <v>1060446586</v>
      </c>
      <c r="E950" s="3">
        <v>4526.33</v>
      </c>
    </row>
    <row r="951" spans="1:5" x14ac:dyDescent="0.25">
      <c r="A951" s="3" t="s">
        <v>5</v>
      </c>
      <c r="B951" s="3" t="s">
        <v>551</v>
      </c>
      <c r="C951" s="3" t="s">
        <v>15</v>
      </c>
      <c r="D951" s="4">
        <f>HYPERLINK("https://cao.dolgi.msk.ru/account/1060446703/", 1060446703)</f>
        <v>1060446703</v>
      </c>
      <c r="E951" s="3">
        <v>10825.39</v>
      </c>
    </row>
    <row r="952" spans="1:5" x14ac:dyDescent="0.25">
      <c r="A952" s="3" t="s">
        <v>5</v>
      </c>
      <c r="B952" s="3" t="s">
        <v>551</v>
      </c>
      <c r="C952" s="3" t="s">
        <v>35</v>
      </c>
      <c r="D952" s="4">
        <f>HYPERLINK("https://cao.dolgi.msk.ru/account/1060446949/", 1060446949)</f>
        <v>1060446949</v>
      </c>
      <c r="E952" s="3">
        <v>19243.71</v>
      </c>
    </row>
    <row r="953" spans="1:5" x14ac:dyDescent="0.25">
      <c r="A953" s="3" t="s">
        <v>5</v>
      </c>
      <c r="B953" s="3" t="s">
        <v>551</v>
      </c>
      <c r="C953" s="3" t="s">
        <v>44</v>
      </c>
      <c r="D953" s="4">
        <f>HYPERLINK("https://cao.dolgi.msk.ru/account/1060447052/", 1060447052)</f>
        <v>1060447052</v>
      </c>
      <c r="E953" s="3">
        <v>4903.62</v>
      </c>
    </row>
    <row r="954" spans="1:5" x14ac:dyDescent="0.25">
      <c r="A954" s="3" t="s">
        <v>5</v>
      </c>
      <c r="B954" s="3" t="s">
        <v>551</v>
      </c>
      <c r="C954" s="3" t="s">
        <v>47</v>
      </c>
      <c r="D954" s="4">
        <f>HYPERLINK("https://cao.dolgi.msk.ru/account/1060447095/", 1060447095)</f>
        <v>1060447095</v>
      </c>
      <c r="E954" s="3">
        <v>23172.38</v>
      </c>
    </row>
    <row r="955" spans="1:5" x14ac:dyDescent="0.25">
      <c r="A955" s="3" t="s">
        <v>5</v>
      </c>
      <c r="B955" s="3" t="s">
        <v>551</v>
      </c>
      <c r="C955" s="3" t="s">
        <v>48</v>
      </c>
      <c r="D955" s="4">
        <f>HYPERLINK("https://cao.dolgi.msk.ru/account/1060447108/", 1060447108)</f>
        <v>1060447108</v>
      </c>
      <c r="E955" s="3">
        <v>3822.29</v>
      </c>
    </row>
    <row r="956" spans="1:5" x14ac:dyDescent="0.25">
      <c r="A956" s="3" t="s">
        <v>5</v>
      </c>
      <c r="B956" s="3" t="s">
        <v>551</v>
      </c>
      <c r="C956" s="3" t="s">
        <v>52</v>
      </c>
      <c r="D956" s="4">
        <f>HYPERLINK("https://cao.dolgi.msk.ru/account/1060447132/", 1060447132)</f>
        <v>1060447132</v>
      </c>
      <c r="E956" s="3">
        <v>18607.93</v>
      </c>
    </row>
    <row r="957" spans="1:5" x14ac:dyDescent="0.25">
      <c r="A957" s="3" t="s">
        <v>5</v>
      </c>
      <c r="B957" s="3" t="s">
        <v>551</v>
      </c>
      <c r="C957" s="3" t="s">
        <v>54</v>
      </c>
      <c r="D957" s="4">
        <f>HYPERLINK("https://cao.dolgi.msk.ru/account/1060447167/", 1060447167)</f>
        <v>1060447167</v>
      </c>
      <c r="E957" s="3">
        <v>48143.35</v>
      </c>
    </row>
    <row r="958" spans="1:5" x14ac:dyDescent="0.25">
      <c r="A958" s="3" t="s">
        <v>5</v>
      </c>
      <c r="B958" s="3" t="s">
        <v>552</v>
      </c>
      <c r="C958" s="3" t="s">
        <v>135</v>
      </c>
      <c r="D958" s="4">
        <f>HYPERLINK("https://cao.dolgi.msk.ru/account/1060400158/", 1060400158)</f>
        <v>1060400158</v>
      </c>
      <c r="E958" s="3">
        <v>53187.79</v>
      </c>
    </row>
    <row r="959" spans="1:5" x14ac:dyDescent="0.25">
      <c r="A959" s="3" t="s">
        <v>5</v>
      </c>
      <c r="B959" s="3" t="s">
        <v>552</v>
      </c>
      <c r="C959" s="3" t="s">
        <v>32</v>
      </c>
      <c r="D959" s="4">
        <f>HYPERLINK("https://cao.dolgi.msk.ru/account/1060400553/", 1060400553)</f>
        <v>1060400553</v>
      </c>
      <c r="E959" s="3">
        <v>27858.75</v>
      </c>
    </row>
    <row r="960" spans="1:5" x14ac:dyDescent="0.25">
      <c r="A960" s="3" t="s">
        <v>5</v>
      </c>
      <c r="B960" s="3" t="s">
        <v>552</v>
      </c>
      <c r="C960" s="3" t="s">
        <v>37</v>
      </c>
      <c r="D960" s="4">
        <f>HYPERLINK("https://cao.dolgi.msk.ru/account/1060400617/", 1060400617)</f>
        <v>1060400617</v>
      </c>
      <c r="E960" s="3">
        <v>33780.720000000001</v>
      </c>
    </row>
    <row r="961" spans="1:5" x14ac:dyDescent="0.25">
      <c r="A961" s="3" t="s">
        <v>5</v>
      </c>
      <c r="B961" s="3" t="s">
        <v>552</v>
      </c>
      <c r="C961" s="3" t="s">
        <v>54</v>
      </c>
      <c r="D961" s="4">
        <f>HYPERLINK("https://cao.dolgi.msk.ru/account/1060400801/", 1060400801)</f>
        <v>1060400801</v>
      </c>
      <c r="E961" s="3">
        <v>10448.11</v>
      </c>
    </row>
    <row r="962" spans="1:5" x14ac:dyDescent="0.25">
      <c r="A962" s="3" t="s">
        <v>5</v>
      </c>
      <c r="B962" s="3" t="s">
        <v>552</v>
      </c>
      <c r="C962" s="3" t="s">
        <v>55</v>
      </c>
      <c r="D962" s="4">
        <f>HYPERLINK("https://cao.dolgi.msk.ru/account/1060400828/", 1060400828)</f>
        <v>1060400828</v>
      </c>
      <c r="E962" s="3">
        <v>58071.38</v>
      </c>
    </row>
    <row r="963" spans="1:5" x14ac:dyDescent="0.25">
      <c r="A963" s="3" t="s">
        <v>5</v>
      </c>
      <c r="B963" s="3" t="s">
        <v>553</v>
      </c>
      <c r="C963" s="3" t="s">
        <v>8</v>
      </c>
      <c r="D963" s="4">
        <f>HYPERLINK("https://cao.dolgi.msk.ru/account/1060718799/", 1060718799)</f>
        <v>1060718799</v>
      </c>
      <c r="E963" s="3">
        <v>7134.99</v>
      </c>
    </row>
    <row r="964" spans="1:5" x14ac:dyDescent="0.25">
      <c r="A964" s="3" t="s">
        <v>5</v>
      </c>
      <c r="B964" s="3" t="s">
        <v>553</v>
      </c>
      <c r="C964" s="3" t="s">
        <v>140</v>
      </c>
      <c r="D964" s="4">
        <f>HYPERLINK("https://cao.dolgi.msk.ru/account/1060894979/", 1060894979)</f>
        <v>1060894979</v>
      </c>
      <c r="E964" s="3">
        <v>14678.07</v>
      </c>
    </row>
    <row r="965" spans="1:5" x14ac:dyDescent="0.25">
      <c r="A965" s="3" t="s">
        <v>5</v>
      </c>
      <c r="B965" s="3" t="s">
        <v>553</v>
      </c>
      <c r="C965" s="3" t="s">
        <v>12</v>
      </c>
      <c r="D965" s="4">
        <f>HYPERLINK("https://cao.dolgi.msk.ru/account/1060719193/", 1060719193)</f>
        <v>1060719193</v>
      </c>
      <c r="E965" s="3">
        <v>3421.25</v>
      </c>
    </row>
    <row r="966" spans="1:5" x14ac:dyDescent="0.25">
      <c r="A966" s="3" t="s">
        <v>5</v>
      </c>
      <c r="B966" s="3" t="s">
        <v>553</v>
      </c>
      <c r="C966" s="3" t="s">
        <v>16</v>
      </c>
      <c r="D966" s="4">
        <f>HYPERLINK("https://cao.dolgi.msk.ru/account/1060719281/", 1060719281)</f>
        <v>1060719281</v>
      </c>
      <c r="E966" s="3">
        <v>4361.99</v>
      </c>
    </row>
    <row r="967" spans="1:5" x14ac:dyDescent="0.25">
      <c r="A967" s="3" t="s">
        <v>5</v>
      </c>
      <c r="B967" s="3" t="s">
        <v>553</v>
      </c>
      <c r="C967" s="3" t="s">
        <v>16</v>
      </c>
      <c r="D967" s="4">
        <f>HYPERLINK("https://cao.dolgi.msk.ru/account/1060719302/", 1060719302)</f>
        <v>1060719302</v>
      </c>
      <c r="E967" s="3">
        <v>7234.16</v>
      </c>
    </row>
    <row r="968" spans="1:5" x14ac:dyDescent="0.25">
      <c r="A968" s="3" t="s">
        <v>5</v>
      </c>
      <c r="B968" s="3" t="s">
        <v>553</v>
      </c>
      <c r="C968" s="3" t="s">
        <v>37</v>
      </c>
      <c r="D968" s="4">
        <f>HYPERLINK("https://cao.dolgi.msk.ru/account/1060720936/", 1060720936)</f>
        <v>1060720936</v>
      </c>
      <c r="E968" s="3">
        <v>6797.19</v>
      </c>
    </row>
    <row r="969" spans="1:5" x14ac:dyDescent="0.25">
      <c r="A969" s="3" t="s">
        <v>5</v>
      </c>
      <c r="B969" s="3" t="s">
        <v>553</v>
      </c>
      <c r="C969" s="3" t="s">
        <v>40</v>
      </c>
      <c r="D969" s="4">
        <f>HYPERLINK("https://cao.dolgi.msk.ru/account/1060719476/", 1060719476)</f>
        <v>1060719476</v>
      </c>
      <c r="E969" s="3">
        <v>182180.67</v>
      </c>
    </row>
    <row r="970" spans="1:5" x14ac:dyDescent="0.25">
      <c r="A970" s="3" t="s">
        <v>5</v>
      </c>
      <c r="B970" s="3" t="s">
        <v>553</v>
      </c>
      <c r="C970" s="3" t="s">
        <v>74</v>
      </c>
      <c r="D970" s="4">
        <f>HYPERLINK("https://cao.dolgi.msk.ru/account/1060719812/", 1060719812)</f>
        <v>1060719812</v>
      </c>
      <c r="E970" s="3">
        <v>58764.62</v>
      </c>
    </row>
    <row r="971" spans="1:5" x14ac:dyDescent="0.25">
      <c r="A971" s="3" t="s">
        <v>5</v>
      </c>
      <c r="B971" s="3" t="s">
        <v>553</v>
      </c>
      <c r="C971" s="3" t="s">
        <v>77</v>
      </c>
      <c r="D971" s="4">
        <f>HYPERLINK("https://cao.dolgi.msk.ru/account/1060719855/", 1060719855)</f>
        <v>1060719855</v>
      </c>
      <c r="E971" s="3">
        <v>7960.6</v>
      </c>
    </row>
    <row r="972" spans="1:5" x14ac:dyDescent="0.25">
      <c r="A972" s="3" t="s">
        <v>5</v>
      </c>
      <c r="B972" s="3" t="s">
        <v>553</v>
      </c>
      <c r="C972" s="3" t="s">
        <v>83</v>
      </c>
      <c r="D972" s="4">
        <f>HYPERLINK("https://cao.dolgi.msk.ru/account/1060904049/", 1060904049)</f>
        <v>1060904049</v>
      </c>
      <c r="E972" s="3">
        <v>4746.6000000000004</v>
      </c>
    </row>
    <row r="973" spans="1:5" x14ac:dyDescent="0.25">
      <c r="A973" s="3" t="s">
        <v>5</v>
      </c>
      <c r="B973" s="3" t="s">
        <v>553</v>
      </c>
      <c r="C973" s="3" t="s">
        <v>96</v>
      </c>
      <c r="D973" s="4">
        <f>HYPERLINK("https://cao.dolgi.msk.ru/account/1060720098/", 1060720098)</f>
        <v>1060720098</v>
      </c>
      <c r="E973" s="3">
        <v>49356.57</v>
      </c>
    </row>
    <row r="974" spans="1:5" x14ac:dyDescent="0.25">
      <c r="A974" s="3" t="s">
        <v>5</v>
      </c>
      <c r="B974" s="3" t="s">
        <v>553</v>
      </c>
      <c r="C974" s="3" t="s">
        <v>101</v>
      </c>
      <c r="D974" s="4">
        <f>HYPERLINK("https://cao.dolgi.msk.ru/account/1060720151/", 1060720151)</f>
        <v>1060720151</v>
      </c>
      <c r="E974" s="3">
        <v>77995.8</v>
      </c>
    </row>
    <row r="975" spans="1:5" x14ac:dyDescent="0.25">
      <c r="A975" s="3" t="s">
        <v>5</v>
      </c>
      <c r="B975" s="3" t="s">
        <v>553</v>
      </c>
      <c r="C975" s="3" t="s">
        <v>145</v>
      </c>
      <c r="D975" s="4">
        <f>HYPERLINK("https://cao.dolgi.msk.ru/account/1060720194/", 1060720194)</f>
        <v>1060720194</v>
      </c>
      <c r="E975" s="3">
        <v>25130.75</v>
      </c>
    </row>
    <row r="976" spans="1:5" x14ac:dyDescent="0.25">
      <c r="A976" s="3" t="s">
        <v>5</v>
      </c>
      <c r="B976" s="3" t="s">
        <v>553</v>
      </c>
      <c r="C976" s="3" t="s">
        <v>146</v>
      </c>
      <c r="D976" s="4">
        <f>HYPERLINK("https://cao.dolgi.msk.ru/account/1060720207/", 1060720207)</f>
        <v>1060720207</v>
      </c>
      <c r="E976" s="3">
        <v>32516.82</v>
      </c>
    </row>
    <row r="977" spans="1:5" x14ac:dyDescent="0.25">
      <c r="A977" s="3" t="s">
        <v>5</v>
      </c>
      <c r="B977" s="3" t="s">
        <v>553</v>
      </c>
      <c r="C977" s="3" t="s">
        <v>108</v>
      </c>
      <c r="D977" s="4">
        <f>HYPERLINK("https://cao.dolgi.msk.ru/account/1060720282/", 1060720282)</f>
        <v>1060720282</v>
      </c>
      <c r="E977" s="3">
        <v>11934.32</v>
      </c>
    </row>
    <row r="978" spans="1:5" x14ac:dyDescent="0.25">
      <c r="A978" s="3" t="s">
        <v>5</v>
      </c>
      <c r="B978" s="3" t="s">
        <v>553</v>
      </c>
      <c r="C978" s="3" t="s">
        <v>158</v>
      </c>
      <c r="D978" s="4">
        <f>HYPERLINK("https://cao.dolgi.msk.ru/account/1060720514/", 1060720514)</f>
        <v>1060720514</v>
      </c>
      <c r="E978" s="3">
        <v>3309.96</v>
      </c>
    </row>
    <row r="979" spans="1:5" x14ac:dyDescent="0.25">
      <c r="A979" s="3" t="s">
        <v>5</v>
      </c>
      <c r="B979" s="3" t="s">
        <v>553</v>
      </c>
      <c r="C979" s="3" t="s">
        <v>165</v>
      </c>
      <c r="D979" s="4">
        <f>HYPERLINK("https://cao.dolgi.msk.ru/account/1060720899/", 1060720899)</f>
        <v>1060720899</v>
      </c>
      <c r="E979" s="3">
        <v>14145.74</v>
      </c>
    </row>
    <row r="980" spans="1:5" x14ac:dyDescent="0.25">
      <c r="A980" s="3" t="s">
        <v>5</v>
      </c>
      <c r="B980" s="3" t="s">
        <v>554</v>
      </c>
      <c r="C980" s="3" t="s">
        <v>182</v>
      </c>
      <c r="D980" s="4">
        <f>HYPERLINK("https://cao.dolgi.msk.ru/account/1060721242/", 1060721242)</f>
        <v>1060721242</v>
      </c>
      <c r="E980" s="3">
        <v>21573.03</v>
      </c>
    </row>
    <row r="981" spans="1:5" x14ac:dyDescent="0.25">
      <c r="A981" s="3" t="s">
        <v>5</v>
      </c>
      <c r="B981" s="3" t="s">
        <v>554</v>
      </c>
      <c r="C981" s="3" t="s">
        <v>185</v>
      </c>
      <c r="D981" s="4">
        <f>HYPERLINK("https://cao.dolgi.msk.ru/account/1060721285/", 1060721285)</f>
        <v>1060721285</v>
      </c>
      <c r="E981" s="3">
        <v>17064.830000000002</v>
      </c>
    </row>
    <row r="982" spans="1:5" x14ac:dyDescent="0.25">
      <c r="A982" s="3" t="s">
        <v>5</v>
      </c>
      <c r="B982" s="3" t="s">
        <v>554</v>
      </c>
      <c r="C982" s="3" t="s">
        <v>197</v>
      </c>
      <c r="D982" s="4">
        <f>HYPERLINK("https://cao.dolgi.msk.ru/account/1060721437/", 1060721437)</f>
        <v>1060721437</v>
      </c>
      <c r="E982" s="3">
        <v>9218.3799999999992</v>
      </c>
    </row>
    <row r="983" spans="1:5" x14ac:dyDescent="0.25">
      <c r="A983" s="3" t="s">
        <v>5</v>
      </c>
      <c r="B983" s="3" t="s">
        <v>554</v>
      </c>
      <c r="C983" s="3" t="s">
        <v>201</v>
      </c>
      <c r="D983" s="4">
        <f>HYPERLINK("https://cao.dolgi.msk.ru/account/1060721488/", 1060721488)</f>
        <v>1060721488</v>
      </c>
      <c r="E983" s="3">
        <v>8467.6</v>
      </c>
    </row>
    <row r="984" spans="1:5" x14ac:dyDescent="0.25">
      <c r="A984" s="3" t="s">
        <v>5</v>
      </c>
      <c r="B984" s="3" t="s">
        <v>554</v>
      </c>
      <c r="C984" s="3" t="s">
        <v>224</v>
      </c>
      <c r="D984" s="4">
        <f>HYPERLINK("https://cao.dolgi.msk.ru/account/1060721779/", 1060721779)</f>
        <v>1060721779</v>
      </c>
      <c r="E984" s="3">
        <v>21402.06</v>
      </c>
    </row>
    <row r="985" spans="1:5" x14ac:dyDescent="0.25">
      <c r="A985" s="3" t="s">
        <v>5</v>
      </c>
      <c r="B985" s="3" t="s">
        <v>554</v>
      </c>
      <c r="C985" s="3" t="s">
        <v>227</v>
      </c>
      <c r="D985" s="4">
        <f>HYPERLINK("https://cao.dolgi.msk.ru/account/1060721808/", 1060721808)</f>
        <v>1060721808</v>
      </c>
      <c r="E985" s="3">
        <v>362012.72</v>
      </c>
    </row>
    <row r="986" spans="1:5" x14ac:dyDescent="0.25">
      <c r="A986" s="3" t="s">
        <v>5</v>
      </c>
      <c r="B986" s="3" t="s">
        <v>554</v>
      </c>
      <c r="C986" s="3" t="s">
        <v>231</v>
      </c>
      <c r="D986" s="4">
        <f>HYPERLINK("https://cao.dolgi.msk.ru/account/1060721859/", 1060721859)</f>
        <v>1060721859</v>
      </c>
      <c r="E986" s="3">
        <v>65508.33</v>
      </c>
    </row>
    <row r="987" spans="1:5" x14ac:dyDescent="0.25">
      <c r="A987" s="3" t="s">
        <v>5</v>
      </c>
      <c r="B987" s="3" t="s">
        <v>554</v>
      </c>
      <c r="C987" s="3" t="s">
        <v>232</v>
      </c>
      <c r="D987" s="4">
        <f>HYPERLINK("https://cao.dolgi.msk.ru/account/1060721867/", 1060721867)</f>
        <v>1060721867</v>
      </c>
      <c r="E987" s="3">
        <v>20190.099999999999</v>
      </c>
    </row>
    <row r="988" spans="1:5" x14ac:dyDescent="0.25">
      <c r="A988" s="3" t="s">
        <v>5</v>
      </c>
      <c r="B988" s="3" t="s">
        <v>554</v>
      </c>
      <c r="C988" s="3" t="s">
        <v>234</v>
      </c>
      <c r="D988" s="4">
        <f>HYPERLINK("https://cao.dolgi.msk.ru/account/1060721883/", 1060721883)</f>
        <v>1060721883</v>
      </c>
      <c r="E988" s="3">
        <v>34674.03</v>
      </c>
    </row>
    <row r="989" spans="1:5" x14ac:dyDescent="0.25">
      <c r="A989" s="3" t="s">
        <v>5</v>
      </c>
      <c r="B989" s="3" t="s">
        <v>554</v>
      </c>
      <c r="C989" s="3" t="s">
        <v>244</v>
      </c>
      <c r="D989" s="4">
        <f>HYPERLINK("https://cao.dolgi.msk.ru/account/1060722026/", 1060722026)</f>
        <v>1060722026</v>
      </c>
      <c r="E989" s="3">
        <v>9440.41</v>
      </c>
    </row>
    <row r="990" spans="1:5" x14ac:dyDescent="0.25">
      <c r="A990" s="3" t="s">
        <v>5</v>
      </c>
      <c r="B990" s="3" t="s">
        <v>554</v>
      </c>
      <c r="C990" s="3" t="s">
        <v>247</v>
      </c>
      <c r="D990" s="4">
        <f>HYPERLINK("https://cao.dolgi.msk.ru/account/1060722069/", 1060722069)</f>
        <v>1060722069</v>
      </c>
      <c r="E990" s="3">
        <v>54590.17</v>
      </c>
    </row>
    <row r="991" spans="1:5" x14ac:dyDescent="0.25">
      <c r="A991" s="3" t="s">
        <v>5</v>
      </c>
      <c r="B991" s="3" t="s">
        <v>554</v>
      </c>
      <c r="C991" s="3" t="s">
        <v>282</v>
      </c>
      <c r="D991" s="4">
        <f>HYPERLINK("https://cao.dolgi.msk.ru/account/1060881262/", 1060881262)</f>
        <v>1060881262</v>
      </c>
      <c r="E991" s="3">
        <v>20228.72</v>
      </c>
    </row>
    <row r="992" spans="1:5" x14ac:dyDescent="0.25">
      <c r="A992" s="3" t="s">
        <v>5</v>
      </c>
      <c r="B992" s="3" t="s">
        <v>554</v>
      </c>
      <c r="C992" s="3" t="s">
        <v>299</v>
      </c>
      <c r="D992" s="4">
        <f>HYPERLINK("https://cao.dolgi.msk.ru/account/1060722827/", 1060722827)</f>
        <v>1060722827</v>
      </c>
      <c r="E992" s="3">
        <v>33654.32</v>
      </c>
    </row>
    <row r="993" spans="1:5" x14ac:dyDescent="0.25">
      <c r="A993" s="3" t="s">
        <v>5</v>
      </c>
      <c r="B993" s="3" t="s">
        <v>554</v>
      </c>
      <c r="C993" s="3" t="s">
        <v>69</v>
      </c>
      <c r="D993" s="4">
        <f>HYPERLINK("https://cao.dolgi.msk.ru/account/1060888851/", 1060888851)</f>
        <v>1060888851</v>
      </c>
      <c r="E993" s="3">
        <v>7139.93</v>
      </c>
    </row>
    <row r="994" spans="1:5" x14ac:dyDescent="0.25">
      <c r="A994" s="3" t="s">
        <v>5</v>
      </c>
      <c r="B994" s="3" t="s">
        <v>555</v>
      </c>
      <c r="C994" s="3" t="s">
        <v>105</v>
      </c>
      <c r="D994" s="4">
        <f>HYPERLINK("https://cao.dolgi.msk.ru/account/1060400967/", 1060400967)</f>
        <v>1060400967</v>
      </c>
      <c r="E994" s="3">
        <v>22523.02</v>
      </c>
    </row>
    <row r="995" spans="1:5" x14ac:dyDescent="0.25">
      <c r="A995" s="3" t="s">
        <v>5</v>
      </c>
      <c r="B995" s="3" t="s">
        <v>555</v>
      </c>
      <c r="C995" s="3" t="s">
        <v>138</v>
      </c>
      <c r="D995" s="4">
        <f>HYPERLINK("https://cao.dolgi.msk.ru/account/1060401046/", 1060401046)</f>
        <v>1060401046</v>
      </c>
      <c r="E995" s="3">
        <v>4174.41</v>
      </c>
    </row>
    <row r="996" spans="1:5" x14ac:dyDescent="0.25">
      <c r="A996" s="3" t="s">
        <v>5</v>
      </c>
      <c r="B996" s="3" t="s">
        <v>555</v>
      </c>
      <c r="C996" s="3" t="s">
        <v>33</v>
      </c>
      <c r="D996" s="4">
        <f>HYPERLINK("https://cao.dolgi.msk.ru/account/1060401417/", 1060401417)</f>
        <v>1060401417</v>
      </c>
      <c r="E996" s="3">
        <v>21865.65</v>
      </c>
    </row>
    <row r="997" spans="1:5" x14ac:dyDescent="0.25">
      <c r="A997" s="3" t="s">
        <v>5</v>
      </c>
      <c r="B997" s="3" t="s">
        <v>555</v>
      </c>
      <c r="C997" s="3" t="s">
        <v>47</v>
      </c>
      <c r="D997" s="4">
        <f>HYPERLINK("https://cao.dolgi.msk.ru/account/1060401249/", 1060401249)</f>
        <v>1060401249</v>
      </c>
      <c r="E997" s="3">
        <v>357723.13</v>
      </c>
    </row>
    <row r="998" spans="1:5" x14ac:dyDescent="0.25">
      <c r="A998" s="3" t="s">
        <v>5</v>
      </c>
      <c r="B998" s="3" t="s">
        <v>555</v>
      </c>
      <c r="C998" s="3" t="s">
        <v>58</v>
      </c>
      <c r="D998" s="4">
        <f>HYPERLINK("https://cao.dolgi.msk.ru/account/1060401695/", 1060401695)</f>
        <v>1060401695</v>
      </c>
      <c r="E998" s="3">
        <v>6992.22</v>
      </c>
    </row>
    <row r="999" spans="1:5" x14ac:dyDescent="0.25">
      <c r="A999" s="3" t="s">
        <v>5</v>
      </c>
      <c r="B999" s="3" t="s">
        <v>555</v>
      </c>
      <c r="C999" s="3" t="s">
        <v>63</v>
      </c>
      <c r="D999" s="4">
        <f>HYPERLINK("https://cao.dolgi.msk.ru/account/1060401759/", 1060401759)</f>
        <v>1060401759</v>
      </c>
      <c r="E999" s="3">
        <v>3854.24</v>
      </c>
    </row>
    <row r="1000" spans="1:5" x14ac:dyDescent="0.25">
      <c r="A1000" s="3" t="s">
        <v>5</v>
      </c>
      <c r="B1000" s="3" t="s">
        <v>555</v>
      </c>
      <c r="C1000" s="3" t="s">
        <v>66</v>
      </c>
      <c r="D1000" s="4">
        <f>HYPERLINK("https://cao.dolgi.msk.ru/account/1060401783/", 1060401783)</f>
        <v>1060401783</v>
      </c>
      <c r="E1000" s="3">
        <v>32611.87</v>
      </c>
    </row>
    <row r="1001" spans="1:5" x14ac:dyDescent="0.25">
      <c r="A1001" s="3" t="s">
        <v>5</v>
      </c>
      <c r="B1001" s="3" t="s">
        <v>556</v>
      </c>
      <c r="C1001" s="3" t="s">
        <v>18</v>
      </c>
      <c r="D1001" s="4">
        <f>HYPERLINK("https://cao.dolgi.msk.ru/account/1060402217/", 1060402217)</f>
        <v>1060402217</v>
      </c>
      <c r="E1001" s="3">
        <v>19804.71</v>
      </c>
    </row>
    <row r="1002" spans="1:5" x14ac:dyDescent="0.25">
      <c r="A1002" s="3" t="s">
        <v>5</v>
      </c>
      <c r="B1002" s="3" t="s">
        <v>556</v>
      </c>
      <c r="C1002" s="3" t="s">
        <v>34</v>
      </c>
      <c r="D1002" s="4">
        <f>HYPERLINK("https://cao.dolgi.msk.ru/account/1060402399/", 1060402399)</f>
        <v>1060402399</v>
      </c>
      <c r="E1002" s="3">
        <v>9710.2999999999993</v>
      </c>
    </row>
    <row r="1003" spans="1:5" x14ac:dyDescent="0.25">
      <c r="A1003" s="3" t="s">
        <v>5</v>
      </c>
      <c r="B1003" s="3" t="s">
        <v>556</v>
      </c>
      <c r="C1003" s="3" t="s">
        <v>74</v>
      </c>
      <c r="D1003" s="4">
        <f>HYPERLINK("https://cao.dolgi.msk.ru/account/1060402807/", 1060402807)</f>
        <v>1060402807</v>
      </c>
      <c r="E1003" s="3">
        <v>51456.69</v>
      </c>
    </row>
    <row r="1004" spans="1:5" x14ac:dyDescent="0.25">
      <c r="A1004" s="3" t="s">
        <v>5</v>
      </c>
      <c r="B1004" s="3" t="s">
        <v>556</v>
      </c>
      <c r="C1004" s="3" t="s">
        <v>94</v>
      </c>
      <c r="D1004" s="4">
        <f>HYPERLINK("https://cao.dolgi.msk.ru/account/1060403033/", 1060403033)</f>
        <v>1060403033</v>
      </c>
      <c r="E1004" s="3">
        <v>130625.84</v>
      </c>
    </row>
    <row r="1005" spans="1:5" x14ac:dyDescent="0.25">
      <c r="A1005" s="3" t="s">
        <v>5</v>
      </c>
      <c r="B1005" s="3" t="s">
        <v>556</v>
      </c>
      <c r="C1005" s="3" t="s">
        <v>95</v>
      </c>
      <c r="D1005" s="4">
        <f>HYPERLINK("https://cao.dolgi.msk.ru/account/1060403041/", 1060403041)</f>
        <v>1060403041</v>
      </c>
      <c r="E1005" s="3">
        <v>76301.850000000006</v>
      </c>
    </row>
    <row r="1006" spans="1:5" x14ac:dyDescent="0.25">
      <c r="A1006" s="3" t="s">
        <v>5</v>
      </c>
      <c r="B1006" s="3" t="s">
        <v>557</v>
      </c>
      <c r="C1006" s="3" t="s">
        <v>139</v>
      </c>
      <c r="D1006" s="4">
        <f>HYPERLINK("https://cao.dolgi.msk.ru/account/1060891508/", 1060891508)</f>
        <v>1060891508</v>
      </c>
      <c r="E1006" s="3">
        <v>62059.34</v>
      </c>
    </row>
    <row r="1007" spans="1:5" x14ac:dyDescent="0.25">
      <c r="A1007" s="3" t="s">
        <v>5</v>
      </c>
      <c r="B1007" s="3" t="s">
        <v>557</v>
      </c>
      <c r="C1007" s="3" t="s">
        <v>10</v>
      </c>
      <c r="D1007" s="4">
        <f>HYPERLINK("https://cao.dolgi.msk.ru/account/1060893108/", 1060893108)</f>
        <v>1060893108</v>
      </c>
      <c r="E1007" s="3">
        <v>6609.17</v>
      </c>
    </row>
    <row r="1008" spans="1:5" x14ac:dyDescent="0.25">
      <c r="A1008" s="3" t="s">
        <v>5</v>
      </c>
      <c r="B1008" s="3" t="s">
        <v>557</v>
      </c>
      <c r="C1008" s="3" t="s">
        <v>20</v>
      </c>
      <c r="D1008" s="4">
        <f>HYPERLINK("https://cao.dolgi.msk.ru/account/1060890855/", 1060890855)</f>
        <v>1060890855</v>
      </c>
      <c r="E1008" s="3">
        <v>28762.9</v>
      </c>
    </row>
    <row r="1009" spans="1:5" x14ac:dyDescent="0.25">
      <c r="A1009" s="3" t="s">
        <v>5</v>
      </c>
      <c r="B1009" s="3" t="s">
        <v>557</v>
      </c>
      <c r="C1009" s="3" t="s">
        <v>25</v>
      </c>
      <c r="D1009" s="4">
        <f>HYPERLINK("https://cao.dolgi.msk.ru/account/1060893116/", 1060893116)</f>
        <v>1060893116</v>
      </c>
      <c r="E1009" s="3">
        <v>24485.87</v>
      </c>
    </row>
    <row r="1010" spans="1:5" x14ac:dyDescent="0.25">
      <c r="A1010" s="3" t="s">
        <v>5</v>
      </c>
      <c r="B1010" s="3" t="s">
        <v>557</v>
      </c>
      <c r="C1010" s="3" t="s">
        <v>31</v>
      </c>
      <c r="D1010" s="4">
        <f>HYPERLINK("https://cao.dolgi.msk.ru/account/1060890863/", 1060890863)</f>
        <v>1060890863</v>
      </c>
      <c r="E1010" s="3">
        <v>27595</v>
      </c>
    </row>
    <row r="1011" spans="1:5" x14ac:dyDescent="0.25">
      <c r="A1011" s="3" t="s">
        <v>5</v>
      </c>
      <c r="B1011" s="3" t="s">
        <v>557</v>
      </c>
      <c r="C1011" s="3" t="s">
        <v>32</v>
      </c>
      <c r="D1011" s="4">
        <f>HYPERLINK("https://cao.dolgi.msk.ru/account/1060892236/", 1060892236)</f>
        <v>1060892236</v>
      </c>
      <c r="E1011" s="3">
        <v>5014.8</v>
      </c>
    </row>
    <row r="1012" spans="1:5" x14ac:dyDescent="0.25">
      <c r="A1012" s="3" t="s">
        <v>5</v>
      </c>
      <c r="B1012" s="3" t="s">
        <v>557</v>
      </c>
      <c r="C1012" s="3" t="s">
        <v>52</v>
      </c>
      <c r="D1012" s="4">
        <f>HYPERLINK("https://cao.dolgi.msk.ru/account/1060893167/", 1060893167)</f>
        <v>1060893167</v>
      </c>
      <c r="E1012" s="3">
        <v>6837.79</v>
      </c>
    </row>
    <row r="1013" spans="1:5" x14ac:dyDescent="0.25">
      <c r="A1013" s="3" t="s">
        <v>5</v>
      </c>
      <c r="B1013" s="3" t="s">
        <v>557</v>
      </c>
      <c r="C1013" s="3" t="s">
        <v>58</v>
      </c>
      <c r="D1013" s="4">
        <f>HYPERLINK("https://cao.dolgi.msk.ru/account/1060891567/", 1060891567)</f>
        <v>1060891567</v>
      </c>
      <c r="E1013" s="3">
        <v>52178.78</v>
      </c>
    </row>
    <row r="1014" spans="1:5" x14ac:dyDescent="0.25">
      <c r="A1014" s="3" t="s">
        <v>5</v>
      </c>
      <c r="B1014" s="3" t="s">
        <v>557</v>
      </c>
      <c r="C1014" s="3" t="s">
        <v>73</v>
      </c>
      <c r="D1014" s="4">
        <f>HYPERLINK("https://cao.dolgi.msk.ru/account/1060893183/", 1060893183)</f>
        <v>1060893183</v>
      </c>
      <c r="E1014" s="3">
        <v>60779.63</v>
      </c>
    </row>
    <row r="1015" spans="1:5" x14ac:dyDescent="0.25">
      <c r="A1015" s="3" t="s">
        <v>5</v>
      </c>
      <c r="B1015" s="3" t="s">
        <v>557</v>
      </c>
      <c r="C1015" s="3" t="s">
        <v>77</v>
      </c>
      <c r="D1015" s="4">
        <f>HYPERLINK("https://cao.dolgi.msk.ru/account/1060893642/", 1060893642)</f>
        <v>1060893642</v>
      </c>
      <c r="E1015" s="3">
        <v>3489.69</v>
      </c>
    </row>
    <row r="1016" spans="1:5" x14ac:dyDescent="0.25">
      <c r="A1016" s="3" t="s">
        <v>5</v>
      </c>
      <c r="B1016" s="3" t="s">
        <v>557</v>
      </c>
      <c r="C1016" s="3" t="s">
        <v>102</v>
      </c>
      <c r="D1016" s="4">
        <f>HYPERLINK("https://cao.dolgi.msk.ru/account/1060891639/", 1060891639)</f>
        <v>1060891639</v>
      </c>
      <c r="E1016" s="3">
        <v>60945.57</v>
      </c>
    </row>
    <row r="1017" spans="1:5" x14ac:dyDescent="0.25">
      <c r="A1017" s="3" t="s">
        <v>5</v>
      </c>
      <c r="B1017" s="3" t="s">
        <v>557</v>
      </c>
      <c r="C1017" s="3" t="s">
        <v>150</v>
      </c>
      <c r="D1017" s="4">
        <f>HYPERLINK("https://cao.dolgi.msk.ru/account/1060892834/", 1060892834)</f>
        <v>1060892834</v>
      </c>
      <c r="E1017" s="3">
        <v>6367.13</v>
      </c>
    </row>
    <row r="1018" spans="1:5" x14ac:dyDescent="0.25">
      <c r="A1018" s="3" t="s">
        <v>5</v>
      </c>
      <c r="B1018" s="3" t="s">
        <v>557</v>
      </c>
      <c r="C1018" s="3" t="s">
        <v>154</v>
      </c>
      <c r="D1018" s="4">
        <f>HYPERLINK("https://cao.dolgi.msk.ru/account/1060890927/", 1060890927)</f>
        <v>1060890927</v>
      </c>
      <c r="E1018" s="3">
        <v>12824.52</v>
      </c>
    </row>
    <row r="1019" spans="1:5" x14ac:dyDescent="0.25">
      <c r="A1019" s="3" t="s">
        <v>5</v>
      </c>
      <c r="B1019" s="3" t="s">
        <v>557</v>
      </c>
      <c r="C1019" s="3" t="s">
        <v>167</v>
      </c>
      <c r="D1019" s="4">
        <f>HYPERLINK("https://cao.dolgi.msk.ru/account/1060891284/", 1060891284)</f>
        <v>1060891284</v>
      </c>
      <c r="E1019" s="3">
        <v>2525.84</v>
      </c>
    </row>
    <row r="1020" spans="1:5" x14ac:dyDescent="0.25">
      <c r="A1020" s="3" t="s">
        <v>5</v>
      </c>
      <c r="B1020" s="3" t="s">
        <v>557</v>
      </c>
      <c r="C1020" s="3" t="s">
        <v>195</v>
      </c>
      <c r="D1020" s="4">
        <f>HYPERLINK("https://cao.dolgi.msk.ru/account/1060891743/", 1060891743)</f>
        <v>1060891743</v>
      </c>
      <c r="E1020" s="3">
        <v>32050.12</v>
      </c>
    </row>
    <row r="1021" spans="1:5" x14ac:dyDescent="0.25">
      <c r="A1021" s="3" t="s">
        <v>5</v>
      </c>
      <c r="B1021" s="3" t="s">
        <v>557</v>
      </c>
      <c r="C1021" s="3" t="s">
        <v>216</v>
      </c>
      <c r="D1021" s="4">
        <f>HYPERLINK("https://cao.dolgi.msk.ru/account/1060893802/", 1060893802)</f>
        <v>1060893802</v>
      </c>
      <c r="E1021" s="3">
        <v>11008.45</v>
      </c>
    </row>
    <row r="1022" spans="1:5" x14ac:dyDescent="0.25">
      <c r="A1022" s="3" t="s">
        <v>5</v>
      </c>
      <c r="B1022" s="3" t="s">
        <v>557</v>
      </c>
      <c r="C1022" s="3" t="s">
        <v>216</v>
      </c>
      <c r="D1022" s="4">
        <f>HYPERLINK("https://cao.dolgi.msk.ru/account/1060894696/", 1060894696)</f>
        <v>1060894696</v>
      </c>
      <c r="E1022" s="3">
        <v>6870.87</v>
      </c>
    </row>
    <row r="1023" spans="1:5" x14ac:dyDescent="0.25">
      <c r="A1023" s="3" t="s">
        <v>5</v>
      </c>
      <c r="B1023" s="3" t="s">
        <v>557</v>
      </c>
      <c r="C1023" s="3" t="s">
        <v>217</v>
      </c>
      <c r="D1023" s="4">
        <f>HYPERLINK("https://cao.dolgi.msk.ru/account/1060891372/", 1060891372)</f>
        <v>1060891372</v>
      </c>
      <c r="E1023" s="3">
        <v>101355.97</v>
      </c>
    </row>
    <row r="1024" spans="1:5" x14ac:dyDescent="0.25">
      <c r="A1024" s="3" t="s">
        <v>5</v>
      </c>
      <c r="B1024" s="3" t="s">
        <v>557</v>
      </c>
      <c r="C1024" s="3" t="s">
        <v>242</v>
      </c>
      <c r="D1024" s="4">
        <f>HYPERLINK("https://cao.dolgi.msk.ru/account/1060892113/", 1060892113)</f>
        <v>1060892113</v>
      </c>
      <c r="E1024" s="3">
        <v>10478.07</v>
      </c>
    </row>
    <row r="1025" spans="1:5" x14ac:dyDescent="0.25">
      <c r="A1025" s="3" t="s">
        <v>5</v>
      </c>
      <c r="B1025" s="3" t="s">
        <v>557</v>
      </c>
      <c r="C1025" s="3" t="s">
        <v>269</v>
      </c>
      <c r="D1025" s="4">
        <f>HYPERLINK("https://cao.dolgi.msk.ru/account/1060893941/", 1060893941)</f>
        <v>1060893941</v>
      </c>
      <c r="E1025" s="3">
        <v>3559.7</v>
      </c>
    </row>
    <row r="1026" spans="1:5" x14ac:dyDescent="0.25">
      <c r="A1026" s="3" t="s">
        <v>5</v>
      </c>
      <c r="B1026" s="3" t="s">
        <v>557</v>
      </c>
      <c r="C1026" s="3" t="s">
        <v>276</v>
      </c>
      <c r="D1026" s="4">
        <f>HYPERLINK("https://cao.dolgi.msk.ru/account/1060892586/", 1060892586)</f>
        <v>1060892586</v>
      </c>
      <c r="E1026" s="3">
        <v>3965.14</v>
      </c>
    </row>
    <row r="1027" spans="1:5" x14ac:dyDescent="0.25">
      <c r="A1027" s="3" t="s">
        <v>5</v>
      </c>
      <c r="B1027" s="3" t="s">
        <v>558</v>
      </c>
      <c r="C1027" s="3" t="s">
        <v>8</v>
      </c>
      <c r="D1027" s="4">
        <f>HYPERLINK("https://cao.dolgi.msk.ru/account/1060406402/", 1060406402)</f>
        <v>1060406402</v>
      </c>
      <c r="E1027" s="3">
        <v>2863.02</v>
      </c>
    </row>
    <row r="1028" spans="1:5" x14ac:dyDescent="0.25">
      <c r="A1028" s="3" t="s">
        <v>5</v>
      </c>
      <c r="B1028" s="3" t="s">
        <v>558</v>
      </c>
      <c r="C1028" s="3" t="s">
        <v>24</v>
      </c>
      <c r="D1028" s="4">
        <f>HYPERLINK("https://cao.dolgi.msk.ru/account/1060406816/", 1060406816)</f>
        <v>1060406816</v>
      </c>
      <c r="E1028" s="3">
        <v>20600.93</v>
      </c>
    </row>
    <row r="1029" spans="1:5" x14ac:dyDescent="0.25">
      <c r="A1029" s="3" t="s">
        <v>5</v>
      </c>
      <c r="B1029" s="3" t="s">
        <v>558</v>
      </c>
      <c r="C1029" s="3" t="s">
        <v>31</v>
      </c>
      <c r="D1029" s="4">
        <f>HYPERLINK("https://cao.dolgi.msk.ru/account/1060406883/", 1060406883)</f>
        <v>1060406883</v>
      </c>
      <c r="E1029" s="3">
        <v>95564.15</v>
      </c>
    </row>
    <row r="1030" spans="1:5" x14ac:dyDescent="0.25">
      <c r="A1030" s="3" t="s">
        <v>5</v>
      </c>
      <c r="B1030" s="3" t="s">
        <v>558</v>
      </c>
      <c r="C1030" s="3" t="s">
        <v>46</v>
      </c>
      <c r="D1030" s="4">
        <f>HYPERLINK("https://cao.dolgi.msk.ru/account/1060407077/", 1060407077)</f>
        <v>1060407077</v>
      </c>
      <c r="E1030" s="3">
        <v>128484.73</v>
      </c>
    </row>
    <row r="1031" spans="1:5" x14ac:dyDescent="0.25">
      <c r="A1031" s="3" t="s">
        <v>5</v>
      </c>
      <c r="B1031" s="3" t="s">
        <v>558</v>
      </c>
      <c r="C1031" s="3" t="s">
        <v>55</v>
      </c>
      <c r="D1031" s="4">
        <f>HYPERLINK("https://cao.dolgi.msk.ru/account/1060407165/", 1060407165)</f>
        <v>1060407165</v>
      </c>
      <c r="E1031" s="3">
        <v>9322.9500000000007</v>
      </c>
    </row>
    <row r="1032" spans="1:5" x14ac:dyDescent="0.25">
      <c r="A1032" s="3" t="s">
        <v>5</v>
      </c>
      <c r="B1032" s="3" t="s">
        <v>558</v>
      </c>
      <c r="C1032" s="3" t="s">
        <v>60</v>
      </c>
      <c r="D1032" s="4">
        <f>HYPERLINK("https://cao.dolgi.msk.ru/account/1060832532/", 1060832532)</f>
        <v>1060832532</v>
      </c>
      <c r="E1032" s="3">
        <v>15960.21</v>
      </c>
    </row>
    <row r="1033" spans="1:5" x14ac:dyDescent="0.25">
      <c r="A1033" s="3" t="s">
        <v>5</v>
      </c>
      <c r="B1033" s="3" t="s">
        <v>558</v>
      </c>
      <c r="C1033" s="3" t="s">
        <v>78</v>
      </c>
      <c r="D1033" s="4">
        <f>HYPERLINK("https://cao.dolgi.msk.ru/account/1060407384/", 1060407384)</f>
        <v>1060407384</v>
      </c>
      <c r="E1033" s="3">
        <v>143710.82999999999</v>
      </c>
    </row>
    <row r="1034" spans="1:5" x14ac:dyDescent="0.25">
      <c r="A1034" s="3" t="s">
        <v>5</v>
      </c>
      <c r="B1034" s="3" t="s">
        <v>558</v>
      </c>
      <c r="C1034" s="3" t="s">
        <v>83</v>
      </c>
      <c r="D1034" s="4">
        <f>HYPERLINK("https://cao.dolgi.msk.ru/account/1060407448/", 1060407448)</f>
        <v>1060407448</v>
      </c>
      <c r="E1034" s="3">
        <v>39413.769999999997</v>
      </c>
    </row>
    <row r="1035" spans="1:5" x14ac:dyDescent="0.25">
      <c r="A1035" s="3" t="s">
        <v>5</v>
      </c>
      <c r="B1035" s="3" t="s">
        <v>558</v>
      </c>
      <c r="C1035" s="3" t="s">
        <v>85</v>
      </c>
      <c r="D1035" s="4">
        <f>HYPERLINK("https://cao.dolgi.msk.ru/account/1060407464/", 1060407464)</f>
        <v>1060407464</v>
      </c>
      <c r="E1035" s="3">
        <v>26437.3</v>
      </c>
    </row>
    <row r="1036" spans="1:5" x14ac:dyDescent="0.25">
      <c r="A1036" s="3" t="s">
        <v>5</v>
      </c>
      <c r="B1036" s="3" t="s">
        <v>558</v>
      </c>
      <c r="C1036" s="3" t="s">
        <v>87</v>
      </c>
      <c r="D1036" s="4">
        <f>HYPERLINK("https://cao.dolgi.msk.ru/account/1060407499/", 1060407499)</f>
        <v>1060407499</v>
      </c>
      <c r="E1036" s="3">
        <v>26551.81</v>
      </c>
    </row>
    <row r="1037" spans="1:5" x14ac:dyDescent="0.25">
      <c r="A1037" s="3" t="s">
        <v>5</v>
      </c>
      <c r="B1037" s="3" t="s">
        <v>559</v>
      </c>
      <c r="C1037" s="3" t="s">
        <v>8</v>
      </c>
      <c r="D1037" s="4">
        <f>HYPERLINK("https://cao.dolgi.msk.ru/account/1060722915/", 1060722915)</f>
        <v>1060722915</v>
      </c>
      <c r="E1037" s="3">
        <v>247634.51</v>
      </c>
    </row>
    <row r="1038" spans="1:5" x14ac:dyDescent="0.25">
      <c r="A1038" s="3" t="s">
        <v>5</v>
      </c>
      <c r="B1038" s="3" t="s">
        <v>559</v>
      </c>
      <c r="C1038" s="3" t="s">
        <v>130</v>
      </c>
      <c r="D1038" s="4">
        <f>HYPERLINK("https://cao.dolgi.msk.ru/account/1060724216/", 1060724216)</f>
        <v>1060724216</v>
      </c>
      <c r="E1038" s="3">
        <v>14600.05</v>
      </c>
    </row>
    <row r="1039" spans="1:5" x14ac:dyDescent="0.25">
      <c r="A1039" s="3" t="s">
        <v>5</v>
      </c>
      <c r="B1039" s="3" t="s">
        <v>559</v>
      </c>
      <c r="C1039" s="3" t="s">
        <v>9</v>
      </c>
      <c r="D1039" s="4">
        <f>HYPERLINK("https://cao.dolgi.msk.ru/account/1060722931/", 1060722931)</f>
        <v>1060722931</v>
      </c>
      <c r="E1039" s="3">
        <v>37736.75</v>
      </c>
    </row>
    <row r="1040" spans="1:5" x14ac:dyDescent="0.25">
      <c r="A1040" s="3" t="s">
        <v>5</v>
      </c>
      <c r="B1040" s="3" t="s">
        <v>559</v>
      </c>
      <c r="C1040" s="3" t="s">
        <v>32</v>
      </c>
      <c r="D1040" s="4">
        <f>HYPERLINK("https://cao.dolgi.msk.ru/account/1060723395/", 1060723395)</f>
        <v>1060723395</v>
      </c>
      <c r="E1040" s="3">
        <v>11569.36</v>
      </c>
    </row>
    <row r="1041" spans="1:5" x14ac:dyDescent="0.25">
      <c r="A1041" s="3" t="s">
        <v>5</v>
      </c>
      <c r="B1041" s="3" t="s">
        <v>559</v>
      </c>
      <c r="C1041" s="3" t="s">
        <v>41</v>
      </c>
      <c r="D1041" s="4">
        <f>HYPERLINK("https://cao.dolgi.msk.ru/account/1060723491/", 1060723491)</f>
        <v>1060723491</v>
      </c>
      <c r="E1041" s="3">
        <v>498342.7</v>
      </c>
    </row>
    <row r="1042" spans="1:5" x14ac:dyDescent="0.25">
      <c r="A1042" s="3" t="s">
        <v>5</v>
      </c>
      <c r="B1042" s="3" t="s">
        <v>559</v>
      </c>
      <c r="C1042" s="3" t="s">
        <v>45</v>
      </c>
      <c r="D1042" s="4">
        <f>HYPERLINK("https://cao.dolgi.msk.ru/account/1060723547/", 1060723547)</f>
        <v>1060723547</v>
      </c>
      <c r="E1042" s="3">
        <v>19464.990000000002</v>
      </c>
    </row>
    <row r="1043" spans="1:5" x14ac:dyDescent="0.25">
      <c r="A1043" s="3" t="s">
        <v>5</v>
      </c>
      <c r="B1043" s="3" t="s">
        <v>559</v>
      </c>
      <c r="C1043" s="3" t="s">
        <v>49</v>
      </c>
      <c r="D1043" s="4">
        <f>HYPERLINK("https://cao.dolgi.msk.ru/account/1060723598/", 1060723598)</f>
        <v>1060723598</v>
      </c>
      <c r="E1043" s="3">
        <v>10269.84</v>
      </c>
    </row>
    <row r="1044" spans="1:5" x14ac:dyDescent="0.25">
      <c r="A1044" s="3" t="s">
        <v>5</v>
      </c>
      <c r="B1044" s="3" t="s">
        <v>559</v>
      </c>
      <c r="C1044" s="3" t="s">
        <v>55</v>
      </c>
      <c r="D1044" s="4">
        <f>HYPERLINK("https://cao.dolgi.msk.ru/account/1060723643/", 1060723643)</f>
        <v>1060723643</v>
      </c>
      <c r="E1044" s="3">
        <v>9077.23</v>
      </c>
    </row>
    <row r="1045" spans="1:5" x14ac:dyDescent="0.25">
      <c r="A1045" s="3" t="s">
        <v>5</v>
      </c>
      <c r="B1045" s="3" t="s">
        <v>559</v>
      </c>
      <c r="C1045" s="3" t="s">
        <v>72</v>
      </c>
      <c r="D1045" s="4">
        <f>HYPERLINK("https://cao.dolgi.msk.ru/account/1060723782/", 1060723782)</f>
        <v>1060723782</v>
      </c>
      <c r="E1045" s="3">
        <v>12317.42</v>
      </c>
    </row>
    <row r="1046" spans="1:5" x14ac:dyDescent="0.25">
      <c r="A1046" s="3" t="s">
        <v>5</v>
      </c>
      <c r="B1046" s="3" t="s">
        <v>559</v>
      </c>
      <c r="C1046" s="3" t="s">
        <v>74</v>
      </c>
      <c r="D1046" s="4">
        <f>HYPERLINK("https://cao.dolgi.msk.ru/account/1060723811/", 1060723811)</f>
        <v>1060723811</v>
      </c>
      <c r="E1046" s="3">
        <v>15646.95</v>
      </c>
    </row>
    <row r="1047" spans="1:5" x14ac:dyDescent="0.25">
      <c r="A1047" s="3" t="s">
        <v>5</v>
      </c>
      <c r="B1047" s="3" t="s">
        <v>559</v>
      </c>
      <c r="C1047" s="3" t="s">
        <v>90</v>
      </c>
      <c r="D1047" s="4">
        <f>HYPERLINK("https://cao.dolgi.msk.ru/account/1060724048/", 1060724048)</f>
        <v>1060724048</v>
      </c>
      <c r="E1047" s="3">
        <v>39165.89</v>
      </c>
    </row>
    <row r="1048" spans="1:5" x14ac:dyDescent="0.25">
      <c r="A1048" s="3" t="s">
        <v>5</v>
      </c>
      <c r="B1048" s="3" t="s">
        <v>559</v>
      </c>
      <c r="C1048" s="3" t="s">
        <v>92</v>
      </c>
      <c r="D1048" s="4">
        <f>HYPERLINK("https://cao.dolgi.msk.ru/account/1060724064/", 1060724064)</f>
        <v>1060724064</v>
      </c>
      <c r="E1048" s="3">
        <v>24903.5</v>
      </c>
    </row>
    <row r="1049" spans="1:5" x14ac:dyDescent="0.25">
      <c r="A1049" s="3" t="s">
        <v>5</v>
      </c>
      <c r="B1049" s="3" t="s">
        <v>560</v>
      </c>
      <c r="C1049" s="3" t="s">
        <v>131</v>
      </c>
      <c r="D1049" s="4">
        <f>HYPERLINK("https://cao.dolgi.msk.ru/account/1060724275/", 1060724275)</f>
        <v>1060724275</v>
      </c>
      <c r="E1049" s="3">
        <v>31742.83</v>
      </c>
    </row>
    <row r="1050" spans="1:5" x14ac:dyDescent="0.25">
      <c r="A1050" s="3" t="s">
        <v>5</v>
      </c>
      <c r="B1050" s="3" t="s">
        <v>560</v>
      </c>
      <c r="C1050" s="3" t="s">
        <v>134</v>
      </c>
      <c r="D1050" s="4">
        <f>HYPERLINK("https://cao.dolgi.msk.ru/account/1060724347/", 1060724347)</f>
        <v>1060724347</v>
      </c>
      <c r="E1050" s="3">
        <v>10262.01</v>
      </c>
    </row>
    <row r="1051" spans="1:5" x14ac:dyDescent="0.25">
      <c r="A1051" s="3" t="s">
        <v>5</v>
      </c>
      <c r="B1051" s="3" t="s">
        <v>560</v>
      </c>
      <c r="C1051" s="3" t="s">
        <v>141</v>
      </c>
      <c r="D1051" s="4">
        <f>HYPERLINK("https://cao.dolgi.msk.ru/account/1060724427/", 1060724427)</f>
        <v>1060724427</v>
      </c>
      <c r="E1051" s="3">
        <v>46199.19</v>
      </c>
    </row>
    <row r="1052" spans="1:5" x14ac:dyDescent="0.25">
      <c r="A1052" s="3" t="s">
        <v>5</v>
      </c>
      <c r="B1052" s="3" t="s">
        <v>560</v>
      </c>
      <c r="C1052" s="3" t="s">
        <v>7</v>
      </c>
      <c r="D1052" s="4">
        <f>HYPERLINK("https://cao.dolgi.msk.ru/account/1060724451/", 1060724451)</f>
        <v>1060724451</v>
      </c>
      <c r="E1052" s="3">
        <v>29931.57</v>
      </c>
    </row>
    <row r="1053" spans="1:5" x14ac:dyDescent="0.25">
      <c r="A1053" s="3" t="s">
        <v>5</v>
      </c>
      <c r="B1053" s="3" t="s">
        <v>560</v>
      </c>
      <c r="C1053" s="3" t="s">
        <v>11</v>
      </c>
      <c r="D1053" s="4">
        <f>HYPERLINK("https://cao.dolgi.msk.ru/account/1060724486/", 1060724486)</f>
        <v>1060724486</v>
      </c>
      <c r="E1053" s="3">
        <v>5379.7</v>
      </c>
    </row>
    <row r="1054" spans="1:5" x14ac:dyDescent="0.25">
      <c r="A1054" s="3" t="s">
        <v>5</v>
      </c>
      <c r="B1054" s="3" t="s">
        <v>560</v>
      </c>
      <c r="C1054" s="3" t="s">
        <v>20</v>
      </c>
      <c r="D1054" s="4">
        <f>HYPERLINK("https://cao.dolgi.msk.ru/account/1060724574/", 1060724574)</f>
        <v>1060724574</v>
      </c>
      <c r="E1054" s="3">
        <v>163897.94</v>
      </c>
    </row>
    <row r="1055" spans="1:5" x14ac:dyDescent="0.25">
      <c r="A1055" s="3" t="s">
        <v>5</v>
      </c>
      <c r="B1055" s="3" t="s">
        <v>560</v>
      </c>
      <c r="C1055" s="3" t="s">
        <v>44</v>
      </c>
      <c r="D1055" s="4">
        <f>HYPERLINK("https://cao.dolgi.msk.ru/account/1060724865/", 1060724865)</f>
        <v>1060724865</v>
      </c>
      <c r="E1055" s="3">
        <v>5220.58</v>
      </c>
    </row>
    <row r="1056" spans="1:5" x14ac:dyDescent="0.25">
      <c r="A1056" s="3" t="s">
        <v>5</v>
      </c>
      <c r="B1056" s="3" t="s">
        <v>560</v>
      </c>
      <c r="C1056" s="3" t="s">
        <v>55</v>
      </c>
      <c r="D1056" s="4">
        <f>HYPERLINK("https://cao.dolgi.msk.ru/account/1060724996/", 1060724996)</f>
        <v>1060724996</v>
      </c>
      <c r="E1056" s="3">
        <v>6642.63</v>
      </c>
    </row>
    <row r="1057" spans="1:5" x14ac:dyDescent="0.25">
      <c r="A1057" s="3" t="s">
        <v>5</v>
      </c>
      <c r="B1057" s="3" t="s">
        <v>560</v>
      </c>
      <c r="C1057" s="3" t="s">
        <v>62</v>
      </c>
      <c r="D1057" s="4">
        <f>HYPERLINK("https://cao.dolgi.msk.ru/account/1060725075/", 1060725075)</f>
        <v>1060725075</v>
      </c>
      <c r="E1057" s="3">
        <v>14531.24</v>
      </c>
    </row>
    <row r="1058" spans="1:5" x14ac:dyDescent="0.25">
      <c r="A1058" s="3" t="s">
        <v>5</v>
      </c>
      <c r="B1058" s="3" t="s">
        <v>560</v>
      </c>
      <c r="C1058" s="3" t="s">
        <v>63</v>
      </c>
      <c r="D1058" s="4">
        <f>HYPERLINK("https://cao.dolgi.msk.ru/account/1060725083/", 1060725083)</f>
        <v>1060725083</v>
      </c>
      <c r="E1058" s="3">
        <v>37652.39</v>
      </c>
    </row>
    <row r="1059" spans="1:5" x14ac:dyDescent="0.25">
      <c r="A1059" s="3" t="s">
        <v>5</v>
      </c>
      <c r="B1059" s="3" t="s">
        <v>560</v>
      </c>
      <c r="C1059" s="3" t="s">
        <v>96</v>
      </c>
      <c r="D1059" s="4">
        <f>HYPERLINK("https://cao.dolgi.msk.ru/account/1060725411/", 1060725411)</f>
        <v>1060725411</v>
      </c>
      <c r="E1059" s="3">
        <v>49809.1</v>
      </c>
    </row>
    <row r="1060" spans="1:5" x14ac:dyDescent="0.25">
      <c r="A1060" s="3" t="s">
        <v>5</v>
      </c>
      <c r="B1060" s="3" t="s">
        <v>561</v>
      </c>
      <c r="C1060" s="3" t="s">
        <v>136</v>
      </c>
      <c r="D1060" s="4">
        <f>HYPERLINK("https://cao.dolgi.msk.ru/account/1060727708/", 1060727708)</f>
        <v>1060727708</v>
      </c>
      <c r="E1060" s="3">
        <v>119092.6</v>
      </c>
    </row>
    <row r="1061" spans="1:5" x14ac:dyDescent="0.25">
      <c r="A1061" s="3" t="s">
        <v>5</v>
      </c>
      <c r="B1061" s="3" t="s">
        <v>561</v>
      </c>
      <c r="C1061" s="3" t="s">
        <v>12</v>
      </c>
      <c r="D1061" s="4">
        <f>HYPERLINK("https://cao.dolgi.msk.ru/account/1060727839/", 1060727839)</f>
        <v>1060727839</v>
      </c>
      <c r="E1061" s="3">
        <v>15903.34</v>
      </c>
    </row>
    <row r="1062" spans="1:5" x14ac:dyDescent="0.25">
      <c r="A1062" s="3" t="s">
        <v>5</v>
      </c>
      <c r="B1062" s="3" t="s">
        <v>561</v>
      </c>
      <c r="C1062" s="3" t="s">
        <v>33</v>
      </c>
      <c r="D1062" s="4">
        <f>HYPERLINK("https://cao.dolgi.msk.ru/account/1060728073/", 1060728073)</f>
        <v>1060728073</v>
      </c>
      <c r="E1062" s="3">
        <v>35798.379999999997</v>
      </c>
    </row>
    <row r="1063" spans="1:5" x14ac:dyDescent="0.25">
      <c r="A1063" s="3" t="s">
        <v>5</v>
      </c>
      <c r="B1063" s="3" t="s">
        <v>561</v>
      </c>
      <c r="C1063" s="3" t="s">
        <v>55</v>
      </c>
      <c r="D1063" s="4">
        <f>HYPERLINK("https://cao.dolgi.msk.ru/account/1060728321/", 1060728321)</f>
        <v>1060728321</v>
      </c>
      <c r="E1063" s="3">
        <v>19465.89</v>
      </c>
    </row>
    <row r="1064" spans="1:5" x14ac:dyDescent="0.25">
      <c r="A1064" s="3" t="s">
        <v>5</v>
      </c>
      <c r="B1064" s="3" t="s">
        <v>561</v>
      </c>
      <c r="C1064" s="3" t="s">
        <v>61</v>
      </c>
      <c r="D1064" s="4">
        <f>HYPERLINK("https://cao.dolgi.msk.ru/account/1060728428/", 1060728428)</f>
        <v>1060728428</v>
      </c>
      <c r="E1064" s="3">
        <v>14768.08</v>
      </c>
    </row>
    <row r="1065" spans="1:5" x14ac:dyDescent="0.25">
      <c r="A1065" s="3" t="s">
        <v>5</v>
      </c>
      <c r="B1065" s="3" t="s">
        <v>561</v>
      </c>
      <c r="C1065" s="3" t="s">
        <v>62</v>
      </c>
      <c r="D1065" s="4">
        <f>HYPERLINK("https://cao.dolgi.msk.ru/account/1060728436/", 1060728436)</f>
        <v>1060728436</v>
      </c>
      <c r="E1065" s="3">
        <v>10037.4</v>
      </c>
    </row>
    <row r="1066" spans="1:5" x14ac:dyDescent="0.25">
      <c r="A1066" s="3" t="s">
        <v>5</v>
      </c>
      <c r="B1066" s="3" t="s">
        <v>561</v>
      </c>
      <c r="C1066" s="3" t="s">
        <v>83</v>
      </c>
      <c r="D1066" s="4">
        <f>HYPERLINK("https://cao.dolgi.msk.ru/account/1060728612/", 1060728612)</f>
        <v>1060728612</v>
      </c>
      <c r="E1066" s="3">
        <v>139410.07999999999</v>
      </c>
    </row>
    <row r="1067" spans="1:5" x14ac:dyDescent="0.25">
      <c r="A1067" s="3" t="s">
        <v>5</v>
      </c>
      <c r="B1067" s="3" t="s">
        <v>561</v>
      </c>
      <c r="C1067" s="3" t="s">
        <v>88</v>
      </c>
      <c r="D1067" s="4">
        <f>HYPERLINK("https://cao.dolgi.msk.ru/account/1060728671/", 1060728671)</f>
        <v>1060728671</v>
      </c>
      <c r="E1067" s="3">
        <v>27100.6</v>
      </c>
    </row>
    <row r="1068" spans="1:5" x14ac:dyDescent="0.25">
      <c r="A1068" s="3" t="s">
        <v>5</v>
      </c>
      <c r="B1068" s="3" t="s">
        <v>561</v>
      </c>
      <c r="C1068" s="3" t="s">
        <v>90</v>
      </c>
      <c r="D1068" s="4">
        <f>HYPERLINK("https://cao.dolgi.msk.ru/account/1060728719/", 1060728719)</f>
        <v>1060728719</v>
      </c>
      <c r="E1068" s="3">
        <v>219431</v>
      </c>
    </row>
    <row r="1069" spans="1:5" x14ac:dyDescent="0.25">
      <c r="A1069" s="3" t="s">
        <v>5</v>
      </c>
      <c r="B1069" s="3" t="s">
        <v>562</v>
      </c>
      <c r="C1069" s="3" t="s">
        <v>8</v>
      </c>
      <c r="D1069" s="4">
        <f>HYPERLINK("https://cao.dolgi.msk.ru/account/1060725614/", 1060725614)</f>
        <v>1060725614</v>
      </c>
      <c r="E1069" s="3">
        <v>283574.48</v>
      </c>
    </row>
    <row r="1070" spans="1:5" x14ac:dyDescent="0.25">
      <c r="A1070" s="3" t="s">
        <v>5</v>
      </c>
      <c r="B1070" s="3" t="s">
        <v>562</v>
      </c>
      <c r="C1070" s="3" t="s">
        <v>133</v>
      </c>
      <c r="D1070" s="4">
        <f>HYPERLINK("https://cao.dolgi.msk.ru/account/1060725702/", 1060725702)</f>
        <v>1060725702</v>
      </c>
      <c r="E1070" s="3">
        <v>4800.8999999999996</v>
      </c>
    </row>
    <row r="1071" spans="1:5" x14ac:dyDescent="0.25">
      <c r="A1071" s="3" t="s">
        <v>5</v>
      </c>
      <c r="B1071" s="3" t="s">
        <v>562</v>
      </c>
      <c r="C1071" s="3" t="s">
        <v>11</v>
      </c>
      <c r="D1071" s="4">
        <f>HYPERLINK("https://cao.dolgi.msk.ru/account/1060725841/", 1060725841)</f>
        <v>1060725841</v>
      </c>
      <c r="E1071" s="3">
        <v>7554.9</v>
      </c>
    </row>
    <row r="1072" spans="1:5" x14ac:dyDescent="0.25">
      <c r="A1072" s="3" t="s">
        <v>5</v>
      </c>
      <c r="B1072" s="3" t="s">
        <v>562</v>
      </c>
      <c r="C1072" s="3" t="s">
        <v>13</v>
      </c>
      <c r="D1072" s="4">
        <f>HYPERLINK("https://cao.dolgi.msk.ru/account/1060725876/", 1060725876)</f>
        <v>1060725876</v>
      </c>
      <c r="E1072" s="3">
        <v>17309.240000000002</v>
      </c>
    </row>
    <row r="1073" spans="1:5" x14ac:dyDescent="0.25">
      <c r="A1073" s="3" t="s">
        <v>5</v>
      </c>
      <c r="B1073" s="3" t="s">
        <v>562</v>
      </c>
      <c r="C1073" s="3" t="s">
        <v>14</v>
      </c>
      <c r="D1073" s="4">
        <f>HYPERLINK("https://cao.dolgi.msk.ru/account/1060725884/", 1060725884)</f>
        <v>1060725884</v>
      </c>
      <c r="E1073" s="3">
        <v>140505.96</v>
      </c>
    </row>
    <row r="1074" spans="1:5" x14ac:dyDescent="0.25">
      <c r="A1074" s="3" t="s">
        <v>5</v>
      </c>
      <c r="B1074" s="3" t="s">
        <v>562</v>
      </c>
      <c r="C1074" s="3" t="s">
        <v>19</v>
      </c>
      <c r="D1074" s="4">
        <f>HYPERLINK("https://cao.dolgi.msk.ru/account/1060725948/", 1060725948)</f>
        <v>1060725948</v>
      </c>
      <c r="E1074" s="3">
        <v>6849.95</v>
      </c>
    </row>
    <row r="1075" spans="1:5" x14ac:dyDescent="0.25">
      <c r="A1075" s="3" t="s">
        <v>5</v>
      </c>
      <c r="B1075" s="3" t="s">
        <v>562</v>
      </c>
      <c r="C1075" s="3" t="s">
        <v>20</v>
      </c>
      <c r="D1075" s="4">
        <f>HYPERLINK("https://cao.dolgi.msk.ru/account/1060725956/", 1060725956)</f>
        <v>1060725956</v>
      </c>
      <c r="E1075" s="3">
        <v>17837.28</v>
      </c>
    </row>
    <row r="1076" spans="1:5" x14ac:dyDescent="0.25">
      <c r="A1076" s="3" t="s">
        <v>5</v>
      </c>
      <c r="B1076" s="3" t="s">
        <v>562</v>
      </c>
      <c r="C1076" s="3" t="s">
        <v>32</v>
      </c>
      <c r="D1076" s="4">
        <f>HYPERLINK("https://cao.dolgi.msk.ru/account/1060726107/", 1060726107)</f>
        <v>1060726107</v>
      </c>
      <c r="E1076" s="3">
        <v>24123.31</v>
      </c>
    </row>
    <row r="1077" spans="1:5" x14ac:dyDescent="0.25">
      <c r="A1077" s="3" t="s">
        <v>5</v>
      </c>
      <c r="B1077" s="3" t="s">
        <v>562</v>
      </c>
      <c r="C1077" s="3" t="s">
        <v>33</v>
      </c>
      <c r="D1077" s="4">
        <f>HYPERLINK("https://cao.dolgi.msk.ru/account/1060726115/", 1060726115)</f>
        <v>1060726115</v>
      </c>
      <c r="E1077" s="3">
        <v>606941.53</v>
      </c>
    </row>
    <row r="1078" spans="1:5" x14ac:dyDescent="0.25">
      <c r="A1078" s="3" t="s">
        <v>5</v>
      </c>
      <c r="B1078" s="3" t="s">
        <v>562</v>
      </c>
      <c r="C1078" s="3" t="s">
        <v>106</v>
      </c>
      <c r="D1078" s="4">
        <f>HYPERLINK("https://cao.dolgi.msk.ru/account/1060726975/", 1060726975)</f>
        <v>1060726975</v>
      </c>
      <c r="E1078" s="3">
        <v>23596.09</v>
      </c>
    </row>
    <row r="1079" spans="1:5" x14ac:dyDescent="0.25">
      <c r="A1079" s="3" t="s">
        <v>5</v>
      </c>
      <c r="B1079" s="3" t="s">
        <v>563</v>
      </c>
      <c r="C1079" s="3" t="s">
        <v>135</v>
      </c>
      <c r="D1079" s="4">
        <f>HYPERLINK("https://cao.dolgi.msk.ru/account/1060408504/", 1060408504)</f>
        <v>1060408504</v>
      </c>
      <c r="E1079" s="3">
        <v>182110.37</v>
      </c>
    </row>
    <row r="1080" spans="1:5" x14ac:dyDescent="0.25">
      <c r="A1080" s="3" t="s">
        <v>5</v>
      </c>
      <c r="B1080" s="3" t="s">
        <v>563</v>
      </c>
      <c r="C1080" s="3" t="s">
        <v>136</v>
      </c>
      <c r="D1080" s="4">
        <f>HYPERLINK("https://cao.dolgi.msk.ru/account/1060408512/", 1060408512)</f>
        <v>1060408512</v>
      </c>
      <c r="E1080" s="3">
        <v>11414.86</v>
      </c>
    </row>
    <row r="1081" spans="1:5" x14ac:dyDescent="0.25">
      <c r="A1081" s="3" t="s">
        <v>5</v>
      </c>
      <c r="B1081" s="3" t="s">
        <v>563</v>
      </c>
      <c r="C1081" s="3" t="s">
        <v>139</v>
      </c>
      <c r="D1081" s="4">
        <f>HYPERLINK("https://cao.dolgi.msk.ru/account/1060408555/", 1060408555)</f>
        <v>1060408555</v>
      </c>
      <c r="E1081" s="3">
        <v>23293.56</v>
      </c>
    </row>
    <row r="1082" spans="1:5" x14ac:dyDescent="0.25">
      <c r="A1082" s="3" t="s">
        <v>5</v>
      </c>
      <c r="B1082" s="3" t="s">
        <v>563</v>
      </c>
      <c r="C1082" s="3" t="s">
        <v>10</v>
      </c>
      <c r="D1082" s="4">
        <f>HYPERLINK("https://cao.dolgi.msk.ru/account/1060408635/", 1060408635)</f>
        <v>1060408635</v>
      </c>
      <c r="E1082" s="3">
        <v>11872.44</v>
      </c>
    </row>
    <row r="1083" spans="1:5" x14ac:dyDescent="0.25">
      <c r="A1083" s="3" t="s">
        <v>5</v>
      </c>
      <c r="B1083" s="3" t="s">
        <v>563</v>
      </c>
      <c r="C1083" s="3" t="s">
        <v>16</v>
      </c>
      <c r="D1083" s="4">
        <f>HYPERLINK("https://cao.dolgi.msk.ru/account/1060408707/", 1060408707)</f>
        <v>1060408707</v>
      </c>
      <c r="E1083" s="3">
        <v>11823.11</v>
      </c>
    </row>
    <row r="1084" spans="1:5" x14ac:dyDescent="0.25">
      <c r="A1084" s="3" t="s">
        <v>5</v>
      </c>
      <c r="B1084" s="3" t="s">
        <v>563</v>
      </c>
      <c r="C1084" s="3" t="s">
        <v>21</v>
      </c>
      <c r="D1084" s="4">
        <f>HYPERLINK("https://cao.dolgi.msk.ru/account/1060408766/", 1060408766)</f>
        <v>1060408766</v>
      </c>
      <c r="E1084" s="3">
        <v>14489.78</v>
      </c>
    </row>
    <row r="1085" spans="1:5" x14ac:dyDescent="0.25">
      <c r="A1085" s="3" t="s">
        <v>5</v>
      </c>
      <c r="B1085" s="3" t="s">
        <v>563</v>
      </c>
      <c r="C1085" s="3" t="s">
        <v>31</v>
      </c>
      <c r="D1085" s="4">
        <f>HYPERLINK("https://cao.dolgi.msk.ru/account/1060408889/", 1060408889)</f>
        <v>1060408889</v>
      </c>
      <c r="E1085" s="3">
        <v>3346.82</v>
      </c>
    </row>
    <row r="1086" spans="1:5" x14ac:dyDescent="0.25">
      <c r="A1086" s="3" t="s">
        <v>5</v>
      </c>
      <c r="B1086" s="3" t="s">
        <v>563</v>
      </c>
      <c r="C1086" s="3" t="s">
        <v>48</v>
      </c>
      <c r="D1086" s="4">
        <f>HYPERLINK("https://cao.dolgi.msk.ru/account/1060409101/", 1060409101)</f>
        <v>1060409101</v>
      </c>
      <c r="E1086" s="3">
        <v>4388.41</v>
      </c>
    </row>
    <row r="1087" spans="1:5" x14ac:dyDescent="0.25">
      <c r="A1087" s="3" t="s">
        <v>5</v>
      </c>
      <c r="B1087" s="3" t="s">
        <v>564</v>
      </c>
      <c r="C1087" s="3" t="s">
        <v>131</v>
      </c>
      <c r="D1087" s="4">
        <f>HYPERLINK("https://cao.dolgi.msk.ru/account/1060410508/", 1060410508)</f>
        <v>1060410508</v>
      </c>
      <c r="E1087" s="3">
        <v>9989.34</v>
      </c>
    </row>
    <row r="1088" spans="1:5" x14ac:dyDescent="0.25">
      <c r="A1088" s="3" t="s">
        <v>5</v>
      </c>
      <c r="B1088" s="3" t="s">
        <v>564</v>
      </c>
      <c r="C1088" s="3" t="s">
        <v>143</v>
      </c>
      <c r="D1088" s="4">
        <f>HYPERLINK("https://cao.dolgi.msk.ru/account/1060410671/", 1060410671)</f>
        <v>1060410671</v>
      </c>
      <c r="E1088" s="3">
        <v>23775.77</v>
      </c>
    </row>
    <row r="1089" spans="1:5" x14ac:dyDescent="0.25">
      <c r="A1089" s="3" t="s">
        <v>5</v>
      </c>
      <c r="B1089" s="3" t="s">
        <v>564</v>
      </c>
      <c r="C1089" s="3" t="s">
        <v>21</v>
      </c>
      <c r="D1089" s="4">
        <f>HYPERLINK("https://cao.dolgi.msk.ru/account/1060410831/", 1060410831)</f>
        <v>1060410831</v>
      </c>
      <c r="E1089" s="3">
        <v>70355.990000000005</v>
      </c>
    </row>
    <row r="1090" spans="1:5" x14ac:dyDescent="0.25">
      <c r="A1090" s="3" t="s">
        <v>5</v>
      </c>
      <c r="B1090" s="3" t="s">
        <v>564</v>
      </c>
      <c r="C1090" s="3" t="s">
        <v>21</v>
      </c>
      <c r="D1090" s="4">
        <f>HYPERLINK("https://cao.dolgi.msk.ru/account/1060411412/", 1060411412)</f>
        <v>1060411412</v>
      </c>
      <c r="E1090" s="3">
        <v>3704.18</v>
      </c>
    </row>
    <row r="1091" spans="1:5" x14ac:dyDescent="0.25">
      <c r="A1091" s="3" t="s">
        <v>5</v>
      </c>
      <c r="B1091" s="3" t="s">
        <v>564</v>
      </c>
      <c r="C1091" s="3" t="s">
        <v>33</v>
      </c>
      <c r="D1091" s="4">
        <f>HYPERLINK("https://cao.dolgi.msk.ru/account/1060410989/", 1060410989)</f>
        <v>1060410989</v>
      </c>
      <c r="E1091" s="3">
        <v>35340.980000000003</v>
      </c>
    </row>
    <row r="1092" spans="1:5" x14ac:dyDescent="0.25">
      <c r="A1092" s="3" t="s">
        <v>5</v>
      </c>
      <c r="B1092" s="3" t="s">
        <v>564</v>
      </c>
      <c r="C1092" s="3" t="s">
        <v>36</v>
      </c>
      <c r="D1092" s="4">
        <f>HYPERLINK("https://cao.dolgi.msk.ru/account/1060411017/", 1060411017)</f>
        <v>1060411017</v>
      </c>
      <c r="E1092" s="3">
        <v>16099.49</v>
      </c>
    </row>
    <row r="1093" spans="1:5" x14ac:dyDescent="0.25">
      <c r="A1093" s="3" t="s">
        <v>5</v>
      </c>
      <c r="B1093" s="3" t="s">
        <v>564</v>
      </c>
      <c r="C1093" s="3" t="s">
        <v>43</v>
      </c>
      <c r="D1093" s="4">
        <f>HYPERLINK("https://cao.dolgi.msk.ru/account/1060411092/", 1060411092)</f>
        <v>1060411092</v>
      </c>
      <c r="E1093" s="3">
        <v>28350.07</v>
      </c>
    </row>
    <row r="1094" spans="1:5" x14ac:dyDescent="0.25">
      <c r="A1094" s="3" t="s">
        <v>5</v>
      </c>
      <c r="B1094" s="3" t="s">
        <v>564</v>
      </c>
      <c r="C1094" s="3" t="s">
        <v>66</v>
      </c>
      <c r="D1094" s="4">
        <f>HYPERLINK("https://cao.dolgi.msk.ru/account/1060411359/", 1060411359)</f>
        <v>1060411359</v>
      </c>
      <c r="E1094" s="3">
        <v>157387.94</v>
      </c>
    </row>
    <row r="1095" spans="1:5" x14ac:dyDescent="0.25">
      <c r="A1095" s="3" t="s">
        <v>5</v>
      </c>
      <c r="B1095" s="3" t="s">
        <v>564</v>
      </c>
      <c r="C1095" s="3" t="s">
        <v>72</v>
      </c>
      <c r="D1095" s="4">
        <f>HYPERLINK("https://cao.dolgi.msk.ru/account/1060411367/", 1060411367)</f>
        <v>1060411367</v>
      </c>
      <c r="E1095" s="3">
        <v>113887.24</v>
      </c>
    </row>
    <row r="1096" spans="1:5" x14ac:dyDescent="0.25">
      <c r="A1096" s="3" t="s">
        <v>5</v>
      </c>
      <c r="B1096" s="3" t="s">
        <v>565</v>
      </c>
      <c r="C1096" s="3" t="s">
        <v>51</v>
      </c>
      <c r="D1096" s="4">
        <f>HYPERLINK("https://cao.dolgi.msk.ru/account/1060409427/", 1060409427)</f>
        <v>1060409427</v>
      </c>
      <c r="E1096" s="3">
        <v>20966.669999999998</v>
      </c>
    </row>
    <row r="1097" spans="1:5" x14ac:dyDescent="0.25">
      <c r="A1097" s="3" t="s">
        <v>5</v>
      </c>
      <c r="B1097" s="3" t="s">
        <v>565</v>
      </c>
      <c r="C1097" s="3" t="s">
        <v>12</v>
      </c>
      <c r="D1097" s="4">
        <f>HYPERLINK("https://cao.dolgi.msk.ru/account/1060409718/", 1060409718)</f>
        <v>1060409718</v>
      </c>
      <c r="E1097" s="3">
        <v>19416.89</v>
      </c>
    </row>
    <row r="1098" spans="1:5" x14ac:dyDescent="0.25">
      <c r="A1098" s="3" t="s">
        <v>5</v>
      </c>
      <c r="B1098" s="3" t="s">
        <v>565</v>
      </c>
      <c r="C1098" s="3" t="s">
        <v>17</v>
      </c>
      <c r="D1098" s="4">
        <f>HYPERLINK("https://cao.dolgi.msk.ru/account/1060409777/", 1060409777)</f>
        <v>1060409777</v>
      </c>
      <c r="E1098" s="3">
        <v>46608.12</v>
      </c>
    </row>
    <row r="1099" spans="1:5" x14ac:dyDescent="0.25">
      <c r="A1099" s="3" t="s">
        <v>5</v>
      </c>
      <c r="B1099" s="3" t="s">
        <v>565</v>
      </c>
      <c r="C1099" s="3" t="s">
        <v>21</v>
      </c>
      <c r="D1099" s="4">
        <f>HYPERLINK("https://cao.dolgi.msk.ru/account/1060409814/", 1060409814)</f>
        <v>1060409814</v>
      </c>
      <c r="E1099" s="3">
        <v>5073.41</v>
      </c>
    </row>
    <row r="1100" spans="1:5" x14ac:dyDescent="0.25">
      <c r="A1100" s="3" t="s">
        <v>5</v>
      </c>
      <c r="B1100" s="3" t="s">
        <v>565</v>
      </c>
      <c r="C1100" s="3" t="s">
        <v>29</v>
      </c>
      <c r="D1100" s="4">
        <f>HYPERLINK("https://cao.dolgi.msk.ru/account/1060409929/", 1060409929)</f>
        <v>1060409929</v>
      </c>
      <c r="E1100" s="3">
        <v>4544.09</v>
      </c>
    </row>
    <row r="1101" spans="1:5" x14ac:dyDescent="0.25">
      <c r="A1101" s="3" t="s">
        <v>5</v>
      </c>
      <c r="B1101" s="3" t="s">
        <v>565</v>
      </c>
      <c r="C1101" s="3" t="s">
        <v>34</v>
      </c>
      <c r="D1101" s="4">
        <f>HYPERLINK("https://cao.dolgi.msk.ru/account/1060409961/", 1060409961)</f>
        <v>1060409961</v>
      </c>
      <c r="E1101" s="3">
        <v>33346.769999999997</v>
      </c>
    </row>
    <row r="1102" spans="1:5" x14ac:dyDescent="0.25">
      <c r="A1102" s="3" t="s">
        <v>5</v>
      </c>
      <c r="B1102" s="3" t="s">
        <v>565</v>
      </c>
      <c r="C1102" s="3" t="s">
        <v>44</v>
      </c>
      <c r="D1102" s="4">
        <f>HYPERLINK("https://cao.dolgi.msk.ru/account/1060410081/", 1060410081)</f>
        <v>1060410081</v>
      </c>
      <c r="E1102" s="3">
        <v>10354.35</v>
      </c>
    </row>
    <row r="1103" spans="1:5" x14ac:dyDescent="0.25">
      <c r="A1103" s="3" t="s">
        <v>5</v>
      </c>
      <c r="B1103" s="3" t="s">
        <v>565</v>
      </c>
      <c r="C1103" s="3" t="s">
        <v>52</v>
      </c>
      <c r="D1103" s="4">
        <f>HYPERLINK("https://cao.dolgi.msk.ru/account/1060410188/", 1060410188)</f>
        <v>1060410188</v>
      </c>
      <c r="E1103" s="3">
        <v>16357.58</v>
      </c>
    </row>
    <row r="1104" spans="1:5" x14ac:dyDescent="0.25">
      <c r="A1104" s="3" t="s">
        <v>5</v>
      </c>
      <c r="B1104" s="3" t="s">
        <v>565</v>
      </c>
      <c r="C1104" s="3" t="s">
        <v>53</v>
      </c>
      <c r="D1104" s="4">
        <f>HYPERLINK("https://cao.dolgi.msk.ru/account/1060410196/", 1060410196)</f>
        <v>1060410196</v>
      </c>
      <c r="E1104" s="3">
        <v>7980.07</v>
      </c>
    </row>
    <row r="1105" spans="1:5" x14ac:dyDescent="0.25">
      <c r="A1105" s="3" t="s">
        <v>5</v>
      </c>
      <c r="B1105" s="3" t="s">
        <v>565</v>
      </c>
      <c r="C1105" s="3" t="s">
        <v>63</v>
      </c>
      <c r="D1105" s="4">
        <f>HYPERLINK("https://cao.dolgi.msk.ru/account/1060410305/", 1060410305)</f>
        <v>1060410305</v>
      </c>
      <c r="E1105" s="3">
        <v>83702.23</v>
      </c>
    </row>
    <row r="1106" spans="1:5" x14ac:dyDescent="0.25">
      <c r="A1106" s="3" t="s">
        <v>5</v>
      </c>
      <c r="B1106" s="3" t="s">
        <v>565</v>
      </c>
      <c r="C1106" s="3" t="s">
        <v>75</v>
      </c>
      <c r="D1106" s="4">
        <f>HYPERLINK("https://cao.dolgi.msk.ru/account/1060410399/", 1060410399)</f>
        <v>1060410399</v>
      </c>
      <c r="E1106" s="3">
        <v>3893.27</v>
      </c>
    </row>
    <row r="1107" spans="1:5" x14ac:dyDescent="0.25">
      <c r="A1107" s="3" t="s">
        <v>5</v>
      </c>
      <c r="B1107" s="3" t="s">
        <v>566</v>
      </c>
      <c r="C1107" s="3" t="s">
        <v>105</v>
      </c>
      <c r="D1107" s="4">
        <f>HYPERLINK("https://cao.dolgi.msk.ru/account/1060411527/", 1060411527)</f>
        <v>1060411527</v>
      </c>
      <c r="E1107" s="3">
        <v>7078.81</v>
      </c>
    </row>
    <row r="1108" spans="1:5" x14ac:dyDescent="0.25">
      <c r="A1108" s="3" t="s">
        <v>5</v>
      </c>
      <c r="B1108" s="3" t="s">
        <v>566</v>
      </c>
      <c r="C1108" s="3" t="s">
        <v>14</v>
      </c>
      <c r="D1108" s="4">
        <f>HYPERLINK("https://cao.dolgi.msk.ru/account/1060411746/", 1060411746)</f>
        <v>1060411746</v>
      </c>
      <c r="E1108" s="3">
        <v>6510.8</v>
      </c>
    </row>
    <row r="1109" spans="1:5" x14ac:dyDescent="0.25">
      <c r="A1109" s="3" t="s">
        <v>5</v>
      </c>
      <c r="B1109" s="3" t="s">
        <v>566</v>
      </c>
      <c r="C1109" s="3" t="s">
        <v>16</v>
      </c>
      <c r="D1109" s="4">
        <f>HYPERLINK("https://cao.dolgi.msk.ru/account/1060411762/", 1060411762)</f>
        <v>1060411762</v>
      </c>
      <c r="E1109" s="3">
        <v>42927.37</v>
      </c>
    </row>
    <row r="1110" spans="1:5" x14ac:dyDescent="0.25">
      <c r="A1110" s="3" t="s">
        <v>5</v>
      </c>
      <c r="B1110" s="3" t="s">
        <v>566</v>
      </c>
      <c r="C1110" s="3" t="s">
        <v>57</v>
      </c>
      <c r="D1110" s="4">
        <f>HYPERLINK("https://cao.dolgi.msk.ru/account/1060412255/", 1060412255)</f>
        <v>1060412255</v>
      </c>
      <c r="E1110" s="3">
        <v>8129.54</v>
      </c>
    </row>
    <row r="1111" spans="1:5" x14ac:dyDescent="0.25">
      <c r="A1111" s="3" t="s">
        <v>5</v>
      </c>
      <c r="B1111" s="3" t="s">
        <v>566</v>
      </c>
      <c r="C1111" s="3" t="s">
        <v>61</v>
      </c>
      <c r="D1111" s="4">
        <f>HYPERLINK("https://cao.dolgi.msk.ru/account/1060412319/", 1060412319)</f>
        <v>1060412319</v>
      </c>
      <c r="E1111" s="3">
        <v>9885.77</v>
      </c>
    </row>
    <row r="1112" spans="1:5" x14ac:dyDescent="0.25">
      <c r="A1112" s="3" t="s">
        <v>5</v>
      </c>
      <c r="B1112" s="3" t="s">
        <v>566</v>
      </c>
      <c r="C1112" s="3" t="s">
        <v>65</v>
      </c>
      <c r="D1112" s="4">
        <f>HYPERLINK("https://cao.dolgi.msk.ru/account/1060412351/", 1060412351)</f>
        <v>1060412351</v>
      </c>
      <c r="E1112" s="3">
        <v>4888.7700000000004</v>
      </c>
    </row>
    <row r="1113" spans="1:5" x14ac:dyDescent="0.25">
      <c r="A1113" s="3" t="s">
        <v>5</v>
      </c>
      <c r="B1113" s="3" t="s">
        <v>566</v>
      </c>
      <c r="C1113" s="3" t="s">
        <v>73</v>
      </c>
      <c r="D1113" s="4">
        <f>HYPERLINK("https://cao.dolgi.msk.ru/account/1060412394/", 1060412394)</f>
        <v>1060412394</v>
      </c>
      <c r="E1113" s="3">
        <v>6209.27</v>
      </c>
    </row>
    <row r="1114" spans="1:5" x14ac:dyDescent="0.25">
      <c r="A1114" s="3" t="s">
        <v>5</v>
      </c>
      <c r="B1114" s="3" t="s">
        <v>566</v>
      </c>
      <c r="C1114" s="3" t="s">
        <v>76</v>
      </c>
      <c r="D1114" s="4">
        <f>HYPERLINK("https://cao.dolgi.msk.ru/account/1060412423/", 1060412423)</f>
        <v>1060412423</v>
      </c>
      <c r="E1114" s="3">
        <v>5743.37</v>
      </c>
    </row>
    <row r="1115" spans="1:5" x14ac:dyDescent="0.25">
      <c r="A1115" s="3" t="s">
        <v>5</v>
      </c>
      <c r="B1115" s="3" t="s">
        <v>566</v>
      </c>
      <c r="C1115" s="3" t="s">
        <v>102</v>
      </c>
      <c r="D1115" s="4">
        <f>HYPERLINK("https://cao.dolgi.msk.ru/account/1060412757/", 1060412757)</f>
        <v>1060412757</v>
      </c>
      <c r="E1115" s="3">
        <v>9221.2900000000009</v>
      </c>
    </row>
    <row r="1116" spans="1:5" x14ac:dyDescent="0.25">
      <c r="A1116" s="3" t="s">
        <v>5</v>
      </c>
      <c r="B1116" s="3" t="s">
        <v>567</v>
      </c>
      <c r="C1116" s="3" t="s">
        <v>9</v>
      </c>
      <c r="D1116" s="4">
        <f>HYPERLINK("https://cao.dolgi.msk.ru/account/1060086744/", 1060086744)</f>
        <v>1060086744</v>
      </c>
      <c r="E1116" s="3">
        <v>4159.28</v>
      </c>
    </row>
    <row r="1117" spans="1:5" x14ac:dyDescent="0.25">
      <c r="A1117" s="3" t="s">
        <v>5</v>
      </c>
      <c r="B1117" s="3" t="s">
        <v>567</v>
      </c>
      <c r="C1117" s="3" t="s">
        <v>134</v>
      </c>
      <c r="D1117" s="4">
        <f>HYPERLINK("https://cao.dolgi.msk.ru/account/1060092044/", 1060092044)</f>
        <v>1060092044</v>
      </c>
      <c r="E1117" s="3">
        <v>37829.75</v>
      </c>
    </row>
    <row r="1118" spans="1:5" x14ac:dyDescent="0.25">
      <c r="A1118" s="3" t="s">
        <v>5</v>
      </c>
      <c r="B1118" s="3" t="s">
        <v>567</v>
      </c>
      <c r="C1118" s="3" t="s">
        <v>141</v>
      </c>
      <c r="D1118" s="4">
        <f>HYPERLINK("https://cao.dolgi.msk.ru/account/1060086867/", 1060086867)</f>
        <v>1060086867</v>
      </c>
      <c r="E1118" s="3">
        <v>22571.43</v>
      </c>
    </row>
    <row r="1119" spans="1:5" x14ac:dyDescent="0.25">
      <c r="A1119" s="3" t="s">
        <v>5</v>
      </c>
      <c r="B1119" s="3" t="s">
        <v>567</v>
      </c>
      <c r="C1119" s="3" t="s">
        <v>13</v>
      </c>
      <c r="D1119" s="4">
        <f>HYPERLINK("https://cao.dolgi.msk.ru/account/1060085426/", 1060085426)</f>
        <v>1060085426</v>
      </c>
      <c r="E1119" s="3">
        <v>16699.78</v>
      </c>
    </row>
    <row r="1120" spans="1:5" x14ac:dyDescent="0.25">
      <c r="A1120" s="3" t="s">
        <v>5</v>
      </c>
      <c r="B1120" s="3" t="s">
        <v>567</v>
      </c>
      <c r="C1120" s="3" t="s">
        <v>23</v>
      </c>
      <c r="D1120" s="4">
        <f>HYPERLINK("https://cao.dolgi.msk.ru/account/1060087923/", 1060087923)</f>
        <v>1060087923</v>
      </c>
      <c r="E1120" s="3">
        <v>4815.6099999999997</v>
      </c>
    </row>
    <row r="1121" spans="1:5" x14ac:dyDescent="0.25">
      <c r="A1121" s="3" t="s">
        <v>5</v>
      </c>
      <c r="B1121" s="3" t="s">
        <v>567</v>
      </c>
      <c r="C1121" s="3" t="s">
        <v>36</v>
      </c>
      <c r="D1121" s="4">
        <f>HYPERLINK("https://cao.dolgi.msk.ru/account/1060085936/", 1060085936)</f>
        <v>1060085936</v>
      </c>
      <c r="E1121" s="3">
        <v>27960.55</v>
      </c>
    </row>
    <row r="1122" spans="1:5" x14ac:dyDescent="0.25">
      <c r="A1122" s="3" t="s">
        <v>5</v>
      </c>
      <c r="B1122" s="3" t="s">
        <v>568</v>
      </c>
      <c r="C1122" s="3" t="s">
        <v>9</v>
      </c>
      <c r="D1122" s="4">
        <f>HYPERLINK("https://cao.dolgi.msk.ru/account/1060412853/", 1060412853)</f>
        <v>1060412853</v>
      </c>
      <c r="E1122" s="3">
        <v>46679.27</v>
      </c>
    </row>
    <row r="1123" spans="1:5" x14ac:dyDescent="0.25">
      <c r="A1123" s="3" t="s">
        <v>5</v>
      </c>
      <c r="B1123" s="3" t="s">
        <v>568</v>
      </c>
      <c r="C1123" s="3" t="s">
        <v>9</v>
      </c>
      <c r="D1123" s="4">
        <f>HYPERLINK("https://cao.dolgi.msk.ru/account/1060412861/", 1060412861)</f>
        <v>1060412861</v>
      </c>
      <c r="E1123" s="3">
        <v>23665.96</v>
      </c>
    </row>
    <row r="1124" spans="1:5" x14ac:dyDescent="0.25">
      <c r="A1124" s="3" t="s">
        <v>5</v>
      </c>
      <c r="B1124" s="3" t="s">
        <v>568</v>
      </c>
      <c r="C1124" s="3" t="s">
        <v>132</v>
      </c>
      <c r="D1124" s="4">
        <f>HYPERLINK("https://cao.dolgi.msk.ru/account/1060412917/", 1060412917)</f>
        <v>1060412917</v>
      </c>
      <c r="E1124" s="3">
        <v>19194.5</v>
      </c>
    </row>
    <row r="1125" spans="1:5" x14ac:dyDescent="0.25">
      <c r="A1125" s="3" t="s">
        <v>5</v>
      </c>
      <c r="B1125" s="3" t="s">
        <v>568</v>
      </c>
      <c r="C1125" s="3" t="s">
        <v>134</v>
      </c>
      <c r="D1125" s="4">
        <f>HYPERLINK("https://cao.dolgi.msk.ru/account/1060412941/", 1060412941)</f>
        <v>1060412941</v>
      </c>
      <c r="E1125" s="3">
        <v>6306.13</v>
      </c>
    </row>
    <row r="1126" spans="1:5" x14ac:dyDescent="0.25">
      <c r="A1126" s="3" t="s">
        <v>5</v>
      </c>
      <c r="B1126" s="3" t="s">
        <v>568</v>
      </c>
      <c r="C1126" s="3" t="s">
        <v>136</v>
      </c>
      <c r="D1126" s="4">
        <f>HYPERLINK("https://cao.dolgi.msk.ru/account/1060412984/", 1060412984)</f>
        <v>1060412984</v>
      </c>
      <c r="E1126" s="3">
        <v>71299.649999999994</v>
      </c>
    </row>
    <row r="1127" spans="1:5" x14ac:dyDescent="0.25">
      <c r="A1127" s="3" t="s">
        <v>5</v>
      </c>
      <c r="B1127" s="3" t="s">
        <v>568</v>
      </c>
      <c r="C1127" s="3" t="s">
        <v>140</v>
      </c>
      <c r="D1127" s="4">
        <f>HYPERLINK("https://cao.dolgi.msk.ru/account/1060413039/", 1060413039)</f>
        <v>1060413039</v>
      </c>
      <c r="E1127" s="3">
        <v>356901.47</v>
      </c>
    </row>
    <row r="1128" spans="1:5" x14ac:dyDescent="0.25">
      <c r="A1128" s="3" t="s">
        <v>5</v>
      </c>
      <c r="B1128" s="3" t="s">
        <v>568</v>
      </c>
      <c r="C1128" s="3" t="s">
        <v>140</v>
      </c>
      <c r="D1128" s="4">
        <f>HYPERLINK("https://cao.dolgi.msk.ru/account/1060413055/", 1060413055)</f>
        <v>1060413055</v>
      </c>
      <c r="E1128" s="3">
        <v>193767.31</v>
      </c>
    </row>
    <row r="1129" spans="1:5" x14ac:dyDescent="0.25">
      <c r="A1129" s="3" t="s">
        <v>5</v>
      </c>
      <c r="B1129" s="3" t="s">
        <v>568</v>
      </c>
      <c r="C1129" s="3" t="s">
        <v>10</v>
      </c>
      <c r="D1129" s="4">
        <f>HYPERLINK("https://cao.dolgi.msk.ru/account/1060097136/", 1060097136)</f>
        <v>1060097136</v>
      </c>
      <c r="E1129" s="3">
        <v>6079.12</v>
      </c>
    </row>
    <row r="1130" spans="1:5" x14ac:dyDescent="0.25">
      <c r="A1130" s="3" t="s">
        <v>5</v>
      </c>
      <c r="B1130" s="3" t="s">
        <v>568</v>
      </c>
      <c r="C1130" s="3" t="s">
        <v>10</v>
      </c>
      <c r="D1130" s="4">
        <f>HYPERLINK("https://cao.dolgi.msk.ru/account/1060413215/", 1060413215)</f>
        <v>1060413215</v>
      </c>
      <c r="E1130" s="3">
        <v>19334.990000000002</v>
      </c>
    </row>
    <row r="1131" spans="1:5" x14ac:dyDescent="0.25">
      <c r="A1131" s="3" t="s">
        <v>5</v>
      </c>
      <c r="B1131" s="3" t="s">
        <v>568</v>
      </c>
      <c r="C1131" s="3" t="s">
        <v>10</v>
      </c>
      <c r="D1131" s="4">
        <f>HYPERLINK("https://cao.dolgi.msk.ru/account/1060413223/", 1060413223)</f>
        <v>1060413223</v>
      </c>
      <c r="E1131" s="3">
        <v>27335.21</v>
      </c>
    </row>
    <row r="1132" spans="1:5" x14ac:dyDescent="0.25">
      <c r="A1132" s="3" t="s">
        <v>5</v>
      </c>
      <c r="B1132" s="3" t="s">
        <v>568</v>
      </c>
      <c r="C1132" s="3" t="s">
        <v>11</v>
      </c>
      <c r="D1132" s="4">
        <f>HYPERLINK("https://cao.dolgi.msk.ru/account/1060455052/", 1060455052)</f>
        <v>1060455052</v>
      </c>
      <c r="E1132" s="3">
        <v>29999.03</v>
      </c>
    </row>
    <row r="1133" spans="1:5" x14ac:dyDescent="0.25">
      <c r="A1133" s="3" t="s">
        <v>5</v>
      </c>
      <c r="B1133" s="3" t="s">
        <v>568</v>
      </c>
      <c r="C1133" s="3" t="s">
        <v>12</v>
      </c>
      <c r="D1133" s="4">
        <f>HYPERLINK("https://cao.dolgi.msk.ru/account/1060413274/", 1060413274)</f>
        <v>1060413274</v>
      </c>
      <c r="E1133" s="3">
        <v>14502.9</v>
      </c>
    </row>
    <row r="1134" spans="1:5" x14ac:dyDescent="0.25">
      <c r="A1134" s="3" t="s">
        <v>5</v>
      </c>
      <c r="B1134" s="3" t="s">
        <v>568</v>
      </c>
      <c r="C1134" s="3" t="s">
        <v>12</v>
      </c>
      <c r="D1134" s="4">
        <f>HYPERLINK("https://cao.dolgi.msk.ru/account/1060413282/", 1060413282)</f>
        <v>1060413282</v>
      </c>
      <c r="E1134" s="3">
        <v>103519.49</v>
      </c>
    </row>
    <row r="1135" spans="1:5" x14ac:dyDescent="0.25">
      <c r="A1135" s="3" t="s">
        <v>5</v>
      </c>
      <c r="B1135" s="3" t="s">
        <v>568</v>
      </c>
      <c r="C1135" s="3" t="s">
        <v>16</v>
      </c>
      <c r="D1135" s="4">
        <f>HYPERLINK("https://cao.dolgi.msk.ru/account/1060413434/", 1060413434)</f>
        <v>1060413434</v>
      </c>
      <c r="E1135" s="3">
        <v>257691.57</v>
      </c>
    </row>
    <row r="1136" spans="1:5" x14ac:dyDescent="0.25">
      <c r="A1136" s="3" t="s">
        <v>5</v>
      </c>
      <c r="B1136" s="3" t="s">
        <v>568</v>
      </c>
      <c r="C1136" s="3" t="s">
        <v>18</v>
      </c>
      <c r="D1136" s="4">
        <f>HYPERLINK("https://cao.dolgi.msk.ru/account/1060413469/", 1060413469)</f>
        <v>1060413469</v>
      </c>
      <c r="E1136" s="3">
        <v>41071.980000000003</v>
      </c>
    </row>
    <row r="1137" spans="1:5" x14ac:dyDescent="0.25">
      <c r="A1137" s="3" t="s">
        <v>5</v>
      </c>
      <c r="B1137" s="3" t="s">
        <v>568</v>
      </c>
      <c r="C1137" s="3" t="s">
        <v>18</v>
      </c>
      <c r="D1137" s="4">
        <f>HYPERLINK("https://cao.dolgi.msk.ru/account/1060413477/", 1060413477)</f>
        <v>1060413477</v>
      </c>
      <c r="E1137" s="3">
        <v>26659.360000000001</v>
      </c>
    </row>
    <row r="1138" spans="1:5" x14ac:dyDescent="0.25">
      <c r="A1138" s="3" t="s">
        <v>5</v>
      </c>
      <c r="B1138" s="3" t="s">
        <v>568</v>
      </c>
      <c r="C1138" s="3" t="s">
        <v>20</v>
      </c>
      <c r="D1138" s="4">
        <f>HYPERLINK("https://cao.dolgi.msk.ru/account/1060895349/", 1060895349)</f>
        <v>1060895349</v>
      </c>
      <c r="E1138" s="3">
        <v>6171.93</v>
      </c>
    </row>
    <row r="1139" spans="1:5" x14ac:dyDescent="0.25">
      <c r="A1139" s="3" t="s">
        <v>5</v>
      </c>
      <c r="B1139" s="3" t="s">
        <v>569</v>
      </c>
      <c r="C1139" s="3" t="s">
        <v>105</v>
      </c>
      <c r="D1139" s="4">
        <f>HYPERLINK("https://cao.dolgi.msk.ru/account/1060069039/", 1060069039)</f>
        <v>1060069039</v>
      </c>
      <c r="E1139" s="3">
        <v>6428.78</v>
      </c>
    </row>
    <row r="1140" spans="1:5" x14ac:dyDescent="0.25">
      <c r="A1140" s="3" t="s">
        <v>5</v>
      </c>
      <c r="B1140" s="3" t="s">
        <v>569</v>
      </c>
      <c r="C1140" s="3" t="s">
        <v>134</v>
      </c>
      <c r="D1140" s="4">
        <f>HYPERLINK("https://cao.dolgi.msk.ru/account/1060069063/", 1060069063)</f>
        <v>1060069063</v>
      </c>
      <c r="E1140" s="3">
        <v>18783.04</v>
      </c>
    </row>
    <row r="1141" spans="1:5" x14ac:dyDescent="0.25">
      <c r="A1141" s="3" t="s">
        <v>5</v>
      </c>
      <c r="B1141" s="3" t="s">
        <v>569</v>
      </c>
      <c r="C1141" s="3" t="s">
        <v>138</v>
      </c>
      <c r="D1141" s="4">
        <f>HYPERLINK("https://cao.dolgi.msk.ru/account/1060069127/", 1060069127)</f>
        <v>1060069127</v>
      </c>
      <c r="E1141" s="3">
        <v>9076.3799999999992</v>
      </c>
    </row>
    <row r="1142" spans="1:5" x14ac:dyDescent="0.25">
      <c r="A1142" s="3" t="s">
        <v>5</v>
      </c>
      <c r="B1142" s="3" t="s">
        <v>569</v>
      </c>
      <c r="C1142" s="3" t="s">
        <v>141</v>
      </c>
      <c r="D1142" s="4">
        <f>HYPERLINK("https://cao.dolgi.msk.ru/account/1060069151/", 1060069151)</f>
        <v>1060069151</v>
      </c>
      <c r="E1142" s="3">
        <v>147437.20000000001</v>
      </c>
    </row>
    <row r="1143" spans="1:5" x14ac:dyDescent="0.25">
      <c r="A1143" s="3" t="s">
        <v>5</v>
      </c>
      <c r="B1143" s="3" t="s">
        <v>569</v>
      </c>
      <c r="C1143" s="3" t="s">
        <v>7</v>
      </c>
      <c r="D1143" s="4">
        <f>HYPERLINK("https://cao.dolgi.msk.ru/account/1060069194/", 1060069194)</f>
        <v>1060069194</v>
      </c>
      <c r="E1143" s="3">
        <v>182378.42</v>
      </c>
    </row>
    <row r="1144" spans="1:5" x14ac:dyDescent="0.25">
      <c r="A1144" s="3" t="s">
        <v>5</v>
      </c>
      <c r="B1144" s="3" t="s">
        <v>569</v>
      </c>
      <c r="C1144" s="3" t="s">
        <v>19</v>
      </c>
      <c r="D1144" s="4">
        <f>HYPERLINK("https://cao.dolgi.msk.ru/account/1060069311/", 1060069311)</f>
        <v>1060069311</v>
      </c>
      <c r="E1144" s="3">
        <v>24877.31</v>
      </c>
    </row>
    <row r="1145" spans="1:5" x14ac:dyDescent="0.25">
      <c r="A1145" s="3" t="s">
        <v>5</v>
      </c>
      <c r="B1145" s="3" t="s">
        <v>569</v>
      </c>
      <c r="C1145" s="3" t="s">
        <v>24</v>
      </c>
      <c r="D1145" s="4">
        <f>HYPERLINK("https://cao.dolgi.msk.ru/account/1060069389/", 1060069389)</f>
        <v>1060069389</v>
      </c>
      <c r="E1145" s="3">
        <v>11682.68</v>
      </c>
    </row>
    <row r="1146" spans="1:5" x14ac:dyDescent="0.25">
      <c r="A1146" s="3" t="s">
        <v>5</v>
      </c>
      <c r="B1146" s="3" t="s">
        <v>569</v>
      </c>
      <c r="C1146" s="3" t="s">
        <v>26</v>
      </c>
      <c r="D1146" s="4">
        <f>HYPERLINK("https://cao.dolgi.msk.ru/account/1060069418/", 1060069418)</f>
        <v>1060069418</v>
      </c>
      <c r="E1146" s="3">
        <v>9466.19</v>
      </c>
    </row>
    <row r="1147" spans="1:5" x14ac:dyDescent="0.25">
      <c r="A1147" s="3" t="s">
        <v>5</v>
      </c>
      <c r="B1147" s="3" t="s">
        <v>569</v>
      </c>
      <c r="C1147" s="3" t="s">
        <v>28</v>
      </c>
      <c r="D1147" s="4">
        <f>HYPERLINK("https://cao.dolgi.msk.ru/account/1060069434/", 1060069434)</f>
        <v>1060069434</v>
      </c>
      <c r="E1147" s="3">
        <v>11227.79</v>
      </c>
    </row>
    <row r="1148" spans="1:5" x14ac:dyDescent="0.25">
      <c r="A1148" s="3" t="s">
        <v>5</v>
      </c>
      <c r="B1148" s="3" t="s">
        <v>569</v>
      </c>
      <c r="C1148" s="3" t="s">
        <v>35</v>
      </c>
      <c r="D1148" s="4">
        <f>HYPERLINK("https://cao.dolgi.msk.ru/account/1060069506/", 1060069506)</f>
        <v>1060069506</v>
      </c>
      <c r="E1148" s="3">
        <v>11666.84</v>
      </c>
    </row>
    <row r="1149" spans="1:5" x14ac:dyDescent="0.25">
      <c r="A1149" s="3" t="s">
        <v>5</v>
      </c>
      <c r="B1149" s="3" t="s">
        <v>569</v>
      </c>
      <c r="C1149" s="3" t="s">
        <v>52</v>
      </c>
      <c r="D1149" s="4">
        <f>HYPERLINK("https://cao.dolgi.msk.ru/account/1060069709/", 1060069709)</f>
        <v>1060069709</v>
      </c>
      <c r="E1149" s="3">
        <v>313330.88</v>
      </c>
    </row>
    <row r="1150" spans="1:5" x14ac:dyDescent="0.25">
      <c r="A1150" s="3" t="s">
        <v>5</v>
      </c>
      <c r="B1150" s="3" t="s">
        <v>570</v>
      </c>
      <c r="C1150" s="3" t="s">
        <v>134</v>
      </c>
      <c r="D1150" s="4">
        <f>HYPERLINK("https://cao.dolgi.msk.ru/account/1060013393/", 1060013393)</f>
        <v>1060013393</v>
      </c>
      <c r="E1150" s="3">
        <v>3925.47</v>
      </c>
    </row>
    <row r="1151" spans="1:5" x14ac:dyDescent="0.25">
      <c r="A1151" s="3" t="s">
        <v>5</v>
      </c>
      <c r="B1151" s="3" t="s">
        <v>570</v>
      </c>
      <c r="C1151" s="3" t="s">
        <v>13</v>
      </c>
      <c r="D1151" s="4">
        <f>HYPERLINK("https://cao.dolgi.msk.ru/account/1060013561/", 1060013561)</f>
        <v>1060013561</v>
      </c>
      <c r="E1151" s="3">
        <v>10838.81</v>
      </c>
    </row>
    <row r="1152" spans="1:5" x14ac:dyDescent="0.25">
      <c r="A1152" s="3" t="s">
        <v>5</v>
      </c>
      <c r="B1152" s="3" t="s">
        <v>570</v>
      </c>
      <c r="C1152" s="3" t="s">
        <v>31</v>
      </c>
      <c r="D1152" s="4">
        <f>HYPERLINK("https://cao.dolgi.msk.ru/account/1060013764/", 1060013764)</f>
        <v>1060013764</v>
      </c>
      <c r="E1152" s="3">
        <v>4990.5200000000004</v>
      </c>
    </row>
    <row r="1153" spans="1:5" x14ac:dyDescent="0.25">
      <c r="A1153" s="3" t="s">
        <v>5</v>
      </c>
      <c r="B1153" s="3" t="s">
        <v>570</v>
      </c>
      <c r="C1153" s="3" t="s">
        <v>38</v>
      </c>
      <c r="D1153" s="4">
        <f>HYPERLINK("https://cao.dolgi.msk.ru/account/1060013852/", 1060013852)</f>
        <v>1060013852</v>
      </c>
      <c r="E1153" s="3">
        <v>13260.44</v>
      </c>
    </row>
    <row r="1154" spans="1:5" x14ac:dyDescent="0.25">
      <c r="A1154" s="3" t="s">
        <v>5</v>
      </c>
      <c r="B1154" s="3" t="s">
        <v>571</v>
      </c>
      <c r="C1154" s="3" t="s">
        <v>133</v>
      </c>
      <c r="D1154" s="4">
        <f>HYPERLINK("https://cao.dolgi.msk.ru/account/1060014791/", 1060014791)</f>
        <v>1060014791</v>
      </c>
      <c r="E1154" s="3">
        <v>10142.74</v>
      </c>
    </row>
    <row r="1155" spans="1:5" x14ac:dyDescent="0.25">
      <c r="A1155" s="3" t="s">
        <v>5</v>
      </c>
      <c r="B1155" s="3" t="s">
        <v>571</v>
      </c>
      <c r="C1155" s="3" t="s">
        <v>134</v>
      </c>
      <c r="D1155" s="4">
        <f>HYPERLINK("https://cao.dolgi.msk.ru/account/1060014804/", 1060014804)</f>
        <v>1060014804</v>
      </c>
      <c r="E1155" s="3">
        <v>24641.71</v>
      </c>
    </row>
    <row r="1156" spans="1:5" x14ac:dyDescent="0.25">
      <c r="A1156" s="3" t="s">
        <v>5</v>
      </c>
      <c r="B1156" s="3" t="s">
        <v>571</v>
      </c>
      <c r="C1156" s="3" t="s">
        <v>141</v>
      </c>
      <c r="D1156" s="4">
        <f>HYPERLINK("https://cao.dolgi.msk.ru/account/1060014898/", 1060014898)</f>
        <v>1060014898</v>
      </c>
      <c r="E1156" s="3">
        <v>28095.18</v>
      </c>
    </row>
    <row r="1157" spans="1:5" x14ac:dyDescent="0.25">
      <c r="A1157" s="3" t="s">
        <v>5</v>
      </c>
      <c r="B1157" s="3" t="s">
        <v>571</v>
      </c>
      <c r="C1157" s="3" t="s">
        <v>19</v>
      </c>
      <c r="D1157" s="4">
        <f>HYPERLINK("https://cao.dolgi.msk.ru/account/1060903935/", 1060903935)</f>
        <v>1060903935</v>
      </c>
      <c r="E1157" s="3">
        <v>9559.65</v>
      </c>
    </row>
    <row r="1158" spans="1:5" x14ac:dyDescent="0.25">
      <c r="A1158" s="3" t="s">
        <v>5</v>
      </c>
      <c r="B1158" s="3" t="s">
        <v>571</v>
      </c>
      <c r="C1158" s="3" t="s">
        <v>46</v>
      </c>
      <c r="D1158" s="4">
        <f>HYPERLINK("https://cao.dolgi.msk.ru/account/1060015364/", 1060015364)</f>
        <v>1060015364</v>
      </c>
      <c r="E1158" s="3">
        <v>6531.86</v>
      </c>
    </row>
    <row r="1159" spans="1:5" x14ac:dyDescent="0.25">
      <c r="A1159" s="3" t="s">
        <v>5</v>
      </c>
      <c r="B1159" s="3" t="s">
        <v>571</v>
      </c>
      <c r="C1159" s="3" t="s">
        <v>55</v>
      </c>
      <c r="D1159" s="4">
        <f>HYPERLINK("https://cao.dolgi.msk.ru/account/1060015479/", 1060015479)</f>
        <v>1060015479</v>
      </c>
      <c r="E1159" s="3">
        <v>274330.81</v>
      </c>
    </row>
    <row r="1160" spans="1:5" x14ac:dyDescent="0.25">
      <c r="A1160" s="3" t="s">
        <v>5</v>
      </c>
      <c r="B1160" s="3" t="s">
        <v>571</v>
      </c>
      <c r="C1160" s="3" t="s">
        <v>80</v>
      </c>
      <c r="D1160" s="4">
        <f>HYPERLINK("https://cao.dolgi.msk.ru/account/1060015719/", 1060015719)</f>
        <v>1060015719</v>
      </c>
      <c r="E1160" s="3">
        <v>7149.03</v>
      </c>
    </row>
    <row r="1161" spans="1:5" x14ac:dyDescent="0.25">
      <c r="A1161" s="3" t="s">
        <v>5</v>
      </c>
      <c r="B1161" s="3" t="s">
        <v>572</v>
      </c>
      <c r="C1161" s="3" t="s">
        <v>133</v>
      </c>
      <c r="D1161" s="4">
        <f>HYPERLINK("https://cao.dolgi.msk.ru/account/1060015989/", 1060015989)</f>
        <v>1060015989</v>
      </c>
      <c r="E1161" s="3">
        <v>18531.669999999998</v>
      </c>
    </row>
    <row r="1162" spans="1:5" x14ac:dyDescent="0.25">
      <c r="A1162" s="3" t="s">
        <v>5</v>
      </c>
      <c r="B1162" s="3" t="s">
        <v>572</v>
      </c>
      <c r="C1162" s="3" t="s">
        <v>138</v>
      </c>
      <c r="D1162" s="4">
        <f>HYPERLINK("https://cao.dolgi.msk.ru/account/1060016033/", 1060016033)</f>
        <v>1060016033</v>
      </c>
      <c r="E1162" s="3">
        <v>34421.21</v>
      </c>
    </row>
    <row r="1163" spans="1:5" x14ac:dyDescent="0.25">
      <c r="A1163" s="3" t="s">
        <v>5</v>
      </c>
      <c r="B1163" s="3" t="s">
        <v>572</v>
      </c>
      <c r="C1163" s="3" t="s">
        <v>23</v>
      </c>
      <c r="D1163" s="4">
        <f>HYPERLINK("https://cao.dolgi.msk.ru/account/1060016287/", 1060016287)</f>
        <v>1060016287</v>
      </c>
      <c r="E1163" s="3">
        <v>3029.84</v>
      </c>
    </row>
    <row r="1164" spans="1:5" x14ac:dyDescent="0.25">
      <c r="A1164" s="3" t="s">
        <v>5</v>
      </c>
      <c r="B1164" s="3" t="s">
        <v>572</v>
      </c>
      <c r="C1164" s="3" t="s">
        <v>32</v>
      </c>
      <c r="D1164" s="4">
        <f>HYPERLINK("https://cao.dolgi.msk.ru/account/1060888341/", 1060888341)</f>
        <v>1060888341</v>
      </c>
      <c r="E1164" s="3">
        <v>21548.880000000001</v>
      </c>
    </row>
    <row r="1165" spans="1:5" x14ac:dyDescent="0.25">
      <c r="A1165" s="3" t="s">
        <v>5</v>
      </c>
      <c r="B1165" s="3" t="s">
        <v>572</v>
      </c>
      <c r="C1165" s="3" t="s">
        <v>33</v>
      </c>
      <c r="D1165" s="4">
        <f>HYPERLINK("https://cao.dolgi.msk.ru/account/1060016383/", 1060016383)</f>
        <v>1060016383</v>
      </c>
      <c r="E1165" s="3">
        <v>46135.29</v>
      </c>
    </row>
    <row r="1166" spans="1:5" x14ac:dyDescent="0.25">
      <c r="A1166" s="3" t="s">
        <v>5</v>
      </c>
      <c r="B1166" s="3" t="s">
        <v>572</v>
      </c>
      <c r="C1166" s="3" t="s">
        <v>55</v>
      </c>
      <c r="D1166" s="4">
        <f>HYPERLINK("https://cao.dolgi.msk.ru/account/1060016623/", 1060016623)</f>
        <v>1060016623</v>
      </c>
      <c r="E1166" s="3">
        <v>8420.49</v>
      </c>
    </row>
    <row r="1167" spans="1:5" x14ac:dyDescent="0.25">
      <c r="A1167" s="3" t="s">
        <v>5</v>
      </c>
      <c r="B1167" s="3" t="s">
        <v>572</v>
      </c>
      <c r="C1167" s="3" t="s">
        <v>58</v>
      </c>
      <c r="D1167" s="4">
        <f>HYPERLINK("https://cao.dolgi.msk.ru/account/1060016666/", 1060016666)</f>
        <v>1060016666</v>
      </c>
      <c r="E1167" s="3">
        <v>11002.15</v>
      </c>
    </row>
    <row r="1168" spans="1:5" x14ac:dyDescent="0.25">
      <c r="A1168" s="3" t="s">
        <v>5</v>
      </c>
      <c r="B1168" s="3" t="s">
        <v>572</v>
      </c>
      <c r="C1168" s="3" t="s">
        <v>61</v>
      </c>
      <c r="D1168" s="4">
        <f>HYPERLINK("https://cao.dolgi.msk.ru/account/1060016703/", 1060016703)</f>
        <v>1060016703</v>
      </c>
      <c r="E1168" s="3">
        <v>20857.62</v>
      </c>
    </row>
    <row r="1169" spans="1:5" x14ac:dyDescent="0.25">
      <c r="A1169" s="3" t="s">
        <v>5</v>
      </c>
      <c r="B1169" s="3" t="s">
        <v>572</v>
      </c>
      <c r="C1169" s="3" t="s">
        <v>65</v>
      </c>
      <c r="D1169" s="4">
        <f>HYPERLINK("https://cao.dolgi.msk.ru/account/1060016754/", 1060016754)</f>
        <v>1060016754</v>
      </c>
      <c r="E1169" s="3">
        <v>13443.86</v>
      </c>
    </row>
    <row r="1170" spans="1:5" x14ac:dyDescent="0.25">
      <c r="A1170" s="3" t="s">
        <v>5</v>
      </c>
      <c r="B1170" s="3" t="s">
        <v>572</v>
      </c>
      <c r="C1170" s="3" t="s">
        <v>75</v>
      </c>
      <c r="D1170" s="4">
        <f>HYPERLINK("https://cao.dolgi.msk.ru/account/1060016826/", 1060016826)</f>
        <v>1060016826</v>
      </c>
      <c r="E1170" s="3">
        <v>65852.73</v>
      </c>
    </row>
    <row r="1171" spans="1:5" x14ac:dyDescent="0.25">
      <c r="A1171" s="3" t="s">
        <v>5</v>
      </c>
      <c r="B1171" s="3" t="s">
        <v>573</v>
      </c>
      <c r="C1171" s="3" t="s">
        <v>142</v>
      </c>
      <c r="D1171" s="4">
        <f>HYPERLINK("https://cao.dolgi.msk.ru/account/1060017079/", 1060017079)</f>
        <v>1060017079</v>
      </c>
      <c r="E1171" s="3">
        <v>266867.27</v>
      </c>
    </row>
    <row r="1172" spans="1:5" x14ac:dyDescent="0.25">
      <c r="A1172" s="3" t="s">
        <v>5</v>
      </c>
      <c r="B1172" s="3" t="s">
        <v>573</v>
      </c>
      <c r="C1172" s="3" t="s">
        <v>21</v>
      </c>
      <c r="D1172" s="4">
        <f>HYPERLINK("https://cao.dolgi.msk.ru/account/1060017239/", 1060017239)</f>
        <v>1060017239</v>
      </c>
      <c r="E1172" s="3">
        <v>85568.65</v>
      </c>
    </row>
    <row r="1173" spans="1:5" x14ac:dyDescent="0.25">
      <c r="A1173" s="3" t="s">
        <v>5</v>
      </c>
      <c r="B1173" s="3" t="s">
        <v>573</v>
      </c>
      <c r="C1173" s="3" t="s">
        <v>39</v>
      </c>
      <c r="D1173" s="4">
        <f>HYPERLINK("https://cao.dolgi.msk.ru/account/1060017431/", 1060017431)</f>
        <v>1060017431</v>
      </c>
      <c r="E1173" s="3">
        <v>28395.53</v>
      </c>
    </row>
    <row r="1174" spans="1:5" x14ac:dyDescent="0.25">
      <c r="A1174" s="3" t="s">
        <v>5</v>
      </c>
      <c r="B1174" s="3" t="s">
        <v>573</v>
      </c>
      <c r="C1174" s="3" t="s">
        <v>43</v>
      </c>
      <c r="D1174" s="4">
        <f>HYPERLINK("https://cao.dolgi.msk.ru/account/1060017482/", 1060017482)</f>
        <v>1060017482</v>
      </c>
      <c r="E1174" s="3">
        <v>18766.71</v>
      </c>
    </row>
    <row r="1175" spans="1:5" x14ac:dyDescent="0.25">
      <c r="A1175" s="3" t="s">
        <v>5</v>
      </c>
      <c r="B1175" s="3" t="s">
        <v>573</v>
      </c>
      <c r="C1175" s="3" t="s">
        <v>53</v>
      </c>
      <c r="D1175" s="4">
        <f>HYPERLINK("https://cao.dolgi.msk.ru/account/1060017618/", 1060017618)</f>
        <v>1060017618</v>
      </c>
      <c r="E1175" s="3">
        <v>6195.55</v>
      </c>
    </row>
    <row r="1176" spans="1:5" x14ac:dyDescent="0.25">
      <c r="A1176" s="3" t="s">
        <v>5</v>
      </c>
      <c r="B1176" s="3" t="s">
        <v>573</v>
      </c>
      <c r="C1176" s="3" t="s">
        <v>56</v>
      </c>
      <c r="D1176" s="4">
        <f>HYPERLINK("https://cao.dolgi.msk.ru/account/1060017642/", 1060017642)</f>
        <v>1060017642</v>
      </c>
      <c r="E1176" s="3">
        <v>15966.39</v>
      </c>
    </row>
    <row r="1177" spans="1:5" x14ac:dyDescent="0.25">
      <c r="A1177" s="3" t="s">
        <v>5</v>
      </c>
      <c r="B1177" s="3" t="s">
        <v>573</v>
      </c>
      <c r="C1177" s="3" t="s">
        <v>58</v>
      </c>
      <c r="D1177" s="4">
        <f>HYPERLINK("https://cao.dolgi.msk.ru/account/1060017677/", 1060017677)</f>
        <v>1060017677</v>
      </c>
      <c r="E1177" s="3">
        <v>38486.01</v>
      </c>
    </row>
    <row r="1178" spans="1:5" x14ac:dyDescent="0.25">
      <c r="A1178" s="3" t="s">
        <v>5</v>
      </c>
      <c r="B1178" s="3" t="s">
        <v>574</v>
      </c>
      <c r="C1178" s="3" t="s">
        <v>51</v>
      </c>
      <c r="D1178" s="4">
        <f>HYPERLINK("https://cao.dolgi.msk.ru/account/1060017837/", 1060017837)</f>
        <v>1060017837</v>
      </c>
      <c r="E1178" s="3">
        <v>8001.24</v>
      </c>
    </row>
    <row r="1179" spans="1:5" x14ac:dyDescent="0.25">
      <c r="A1179" s="3" t="s">
        <v>5</v>
      </c>
      <c r="B1179" s="3" t="s">
        <v>574</v>
      </c>
      <c r="C1179" s="3" t="s">
        <v>8</v>
      </c>
      <c r="D1179" s="4">
        <f>HYPERLINK("https://cao.dolgi.msk.ru/account/1060017845/", 1060017845)</f>
        <v>1060017845</v>
      </c>
      <c r="E1179" s="3">
        <v>148654.79</v>
      </c>
    </row>
    <row r="1180" spans="1:5" x14ac:dyDescent="0.25">
      <c r="A1180" s="3" t="s">
        <v>5</v>
      </c>
      <c r="B1180" s="3" t="s">
        <v>574</v>
      </c>
      <c r="C1180" s="3" t="s">
        <v>10</v>
      </c>
      <c r="D1180" s="4">
        <f>HYPERLINK("https://cao.dolgi.msk.ru/account/1060018071/", 1060018071)</f>
        <v>1060018071</v>
      </c>
      <c r="E1180" s="3">
        <v>5422.62</v>
      </c>
    </row>
    <row r="1181" spans="1:5" x14ac:dyDescent="0.25">
      <c r="A1181" s="3" t="s">
        <v>5</v>
      </c>
      <c r="B1181" s="3" t="s">
        <v>574</v>
      </c>
      <c r="C1181" s="3" t="s">
        <v>17</v>
      </c>
      <c r="D1181" s="4">
        <f>HYPERLINK("https://cao.dolgi.msk.ru/account/1060018178/", 1060018178)</f>
        <v>1060018178</v>
      </c>
      <c r="E1181" s="3">
        <v>5303.66</v>
      </c>
    </row>
    <row r="1182" spans="1:5" x14ac:dyDescent="0.25">
      <c r="A1182" s="3" t="s">
        <v>5</v>
      </c>
      <c r="B1182" s="3" t="s">
        <v>574</v>
      </c>
      <c r="C1182" s="3" t="s">
        <v>54</v>
      </c>
      <c r="D1182" s="4">
        <f>HYPERLINK("https://cao.dolgi.msk.ru/account/1060018573/", 1060018573)</f>
        <v>1060018573</v>
      </c>
      <c r="E1182" s="3">
        <v>9152.1</v>
      </c>
    </row>
    <row r="1183" spans="1:5" x14ac:dyDescent="0.25">
      <c r="A1183" s="3" t="s">
        <v>5</v>
      </c>
      <c r="B1183" s="3" t="s">
        <v>574</v>
      </c>
      <c r="C1183" s="3" t="s">
        <v>66</v>
      </c>
      <c r="D1183" s="4">
        <f>HYPERLINK("https://cao.dolgi.msk.ru/account/1060018725/", 1060018725)</f>
        <v>1060018725</v>
      </c>
      <c r="E1183" s="3">
        <v>8504.99</v>
      </c>
    </row>
    <row r="1184" spans="1:5" x14ac:dyDescent="0.25">
      <c r="A1184" s="3" t="s">
        <v>5</v>
      </c>
      <c r="B1184" s="3" t="s">
        <v>575</v>
      </c>
      <c r="C1184" s="3" t="s">
        <v>135</v>
      </c>
      <c r="D1184" s="4">
        <f>HYPERLINK("https://cao.dolgi.msk.ru/account/1060018928/", 1060018928)</f>
        <v>1060018928</v>
      </c>
      <c r="E1184" s="3">
        <v>29150.92</v>
      </c>
    </row>
    <row r="1185" spans="1:5" x14ac:dyDescent="0.25">
      <c r="A1185" s="3" t="s">
        <v>5</v>
      </c>
      <c r="B1185" s="3" t="s">
        <v>575</v>
      </c>
      <c r="C1185" s="3" t="s">
        <v>139</v>
      </c>
      <c r="D1185" s="4">
        <f>HYPERLINK("https://cao.dolgi.msk.ru/account/1060018979/", 1060018979)</f>
        <v>1060018979</v>
      </c>
      <c r="E1185" s="3">
        <v>9816.44</v>
      </c>
    </row>
    <row r="1186" spans="1:5" x14ac:dyDescent="0.25">
      <c r="A1186" s="3" t="s">
        <v>5</v>
      </c>
      <c r="B1186" s="3" t="s">
        <v>575</v>
      </c>
      <c r="C1186" s="3" t="s">
        <v>63</v>
      </c>
      <c r="D1186" s="4">
        <f>HYPERLINK("https://cao.dolgi.msk.ru/account/1060019656/", 1060019656)</f>
        <v>1060019656</v>
      </c>
      <c r="E1186" s="3">
        <v>5414.76</v>
      </c>
    </row>
    <row r="1187" spans="1:5" x14ac:dyDescent="0.25">
      <c r="A1187" s="3" t="s">
        <v>5</v>
      </c>
      <c r="B1187" s="3" t="s">
        <v>576</v>
      </c>
      <c r="C1187" s="3" t="s">
        <v>89</v>
      </c>
      <c r="D1187" s="4">
        <f>HYPERLINK("https://cao.dolgi.msk.ru/account/1060730958/", 1060730958)</f>
        <v>1060730958</v>
      </c>
      <c r="E1187" s="3">
        <v>5666.98</v>
      </c>
    </row>
    <row r="1188" spans="1:5" x14ac:dyDescent="0.25">
      <c r="A1188" s="3" t="s">
        <v>5</v>
      </c>
      <c r="B1188" s="3" t="s">
        <v>576</v>
      </c>
      <c r="C1188" s="3" t="s">
        <v>137</v>
      </c>
      <c r="D1188" s="4">
        <f>HYPERLINK("https://cao.dolgi.msk.ru/account/1060731045/", 1060731045)</f>
        <v>1060731045</v>
      </c>
      <c r="E1188" s="3">
        <v>58699.9</v>
      </c>
    </row>
    <row r="1189" spans="1:5" x14ac:dyDescent="0.25">
      <c r="A1189" s="3" t="s">
        <v>5</v>
      </c>
      <c r="B1189" s="3" t="s">
        <v>576</v>
      </c>
      <c r="C1189" s="3" t="s">
        <v>25</v>
      </c>
      <c r="D1189" s="4">
        <f>HYPERLINK("https://cao.dolgi.msk.ru/account/1060731328/", 1060731328)</f>
        <v>1060731328</v>
      </c>
      <c r="E1189" s="3">
        <v>3962.13</v>
      </c>
    </row>
    <row r="1190" spans="1:5" x14ac:dyDescent="0.25">
      <c r="A1190" s="3" t="s">
        <v>5</v>
      </c>
      <c r="B1190" s="3" t="s">
        <v>576</v>
      </c>
      <c r="C1190" s="3" t="s">
        <v>27</v>
      </c>
      <c r="D1190" s="4">
        <f>HYPERLINK("https://cao.dolgi.msk.ru/account/1060731344/", 1060731344)</f>
        <v>1060731344</v>
      </c>
      <c r="E1190" s="3">
        <v>11473.59</v>
      </c>
    </row>
    <row r="1191" spans="1:5" x14ac:dyDescent="0.25">
      <c r="A1191" s="3" t="s">
        <v>5</v>
      </c>
      <c r="B1191" s="3" t="s">
        <v>576</v>
      </c>
      <c r="C1191" s="3" t="s">
        <v>39</v>
      </c>
      <c r="D1191" s="4">
        <f>HYPERLINK("https://cao.dolgi.msk.ru/account/1060731467/", 1060731467)</f>
        <v>1060731467</v>
      </c>
      <c r="E1191" s="3">
        <v>8859.65</v>
      </c>
    </row>
    <row r="1192" spans="1:5" x14ac:dyDescent="0.25">
      <c r="A1192" s="3" t="s">
        <v>5</v>
      </c>
      <c r="B1192" s="3" t="s">
        <v>576</v>
      </c>
      <c r="C1192" s="3" t="s">
        <v>46</v>
      </c>
      <c r="D1192" s="4">
        <f>HYPERLINK("https://cao.dolgi.msk.ru/account/1060896173/", 1060896173)</f>
        <v>1060896173</v>
      </c>
      <c r="E1192" s="3">
        <v>3973</v>
      </c>
    </row>
    <row r="1193" spans="1:5" x14ac:dyDescent="0.25">
      <c r="A1193" s="3" t="s">
        <v>5</v>
      </c>
      <c r="B1193" s="3" t="s">
        <v>576</v>
      </c>
      <c r="C1193" s="3" t="s">
        <v>66</v>
      </c>
      <c r="D1193" s="4">
        <f>HYPERLINK("https://cao.dolgi.msk.ru/account/1060731774/", 1060731774)</f>
        <v>1060731774</v>
      </c>
      <c r="E1193" s="3">
        <v>37401.56</v>
      </c>
    </row>
    <row r="1194" spans="1:5" x14ac:dyDescent="0.25">
      <c r="A1194" s="3" t="s">
        <v>5</v>
      </c>
      <c r="B1194" s="3" t="s">
        <v>576</v>
      </c>
      <c r="C1194" s="3" t="s">
        <v>86</v>
      </c>
      <c r="D1194" s="4">
        <f>HYPERLINK("https://cao.dolgi.msk.ru/account/1060731985/", 1060731985)</f>
        <v>1060731985</v>
      </c>
      <c r="E1194" s="3">
        <v>12712.32</v>
      </c>
    </row>
    <row r="1195" spans="1:5" x14ac:dyDescent="0.25">
      <c r="A1195" s="3" t="s">
        <v>5</v>
      </c>
      <c r="B1195" s="3" t="s">
        <v>576</v>
      </c>
      <c r="C1195" s="3" t="s">
        <v>95</v>
      </c>
      <c r="D1195" s="4">
        <f>HYPERLINK("https://cao.dolgi.msk.ru/account/1060732101/", 1060732101)</f>
        <v>1060732101</v>
      </c>
      <c r="E1195" s="3">
        <v>25178.21</v>
      </c>
    </row>
    <row r="1196" spans="1:5" x14ac:dyDescent="0.25">
      <c r="A1196" s="3" t="s">
        <v>5</v>
      </c>
      <c r="B1196" s="3" t="s">
        <v>576</v>
      </c>
      <c r="C1196" s="3" t="s">
        <v>102</v>
      </c>
      <c r="D1196" s="4">
        <f>HYPERLINK("https://cao.dolgi.msk.ru/account/1060732195/", 1060732195)</f>
        <v>1060732195</v>
      </c>
      <c r="E1196" s="3">
        <v>6147.76</v>
      </c>
    </row>
    <row r="1197" spans="1:5" x14ac:dyDescent="0.25">
      <c r="A1197" s="3" t="s">
        <v>5</v>
      </c>
      <c r="B1197" s="3" t="s">
        <v>576</v>
      </c>
      <c r="C1197" s="3" t="s">
        <v>148</v>
      </c>
      <c r="D1197" s="4">
        <f>HYPERLINK("https://cao.dolgi.msk.ru/account/1060732267/", 1060732267)</f>
        <v>1060732267</v>
      </c>
      <c r="E1197" s="3">
        <v>12459.41</v>
      </c>
    </row>
    <row r="1198" spans="1:5" x14ac:dyDescent="0.25">
      <c r="A1198" s="3" t="s">
        <v>5</v>
      </c>
      <c r="B1198" s="3" t="s">
        <v>576</v>
      </c>
      <c r="C1198" s="3" t="s">
        <v>107</v>
      </c>
      <c r="D1198" s="4">
        <f>HYPERLINK("https://cao.dolgi.msk.ru/account/1060732291/", 1060732291)</f>
        <v>1060732291</v>
      </c>
      <c r="E1198" s="3">
        <v>10231.77</v>
      </c>
    </row>
    <row r="1199" spans="1:5" x14ac:dyDescent="0.25">
      <c r="A1199" s="3" t="s">
        <v>5</v>
      </c>
      <c r="B1199" s="3" t="s">
        <v>576</v>
      </c>
      <c r="C1199" s="3" t="s">
        <v>155</v>
      </c>
      <c r="D1199" s="4">
        <f>HYPERLINK("https://cao.dolgi.msk.ru/account/1060732494/", 1060732494)</f>
        <v>1060732494</v>
      </c>
      <c r="E1199" s="3">
        <v>68049.88</v>
      </c>
    </row>
    <row r="1200" spans="1:5" x14ac:dyDescent="0.25">
      <c r="A1200" s="3" t="s">
        <v>5</v>
      </c>
      <c r="B1200" s="3" t="s">
        <v>577</v>
      </c>
      <c r="C1200" s="3" t="s">
        <v>25</v>
      </c>
      <c r="D1200" s="4">
        <f>HYPERLINK("https://cao.dolgi.msk.ru/account/1060822094/", 1060822094)</f>
        <v>1060822094</v>
      </c>
      <c r="E1200" s="3">
        <v>10728.76</v>
      </c>
    </row>
    <row r="1201" spans="1:5" x14ac:dyDescent="0.25">
      <c r="A1201" s="3" t="s">
        <v>5</v>
      </c>
      <c r="B1201" s="3" t="s">
        <v>577</v>
      </c>
      <c r="C1201" s="3" t="s">
        <v>32</v>
      </c>
      <c r="D1201" s="4">
        <f>HYPERLINK("https://cao.dolgi.msk.ru/account/1060821665/", 1060821665)</f>
        <v>1060821665</v>
      </c>
      <c r="E1201" s="3">
        <v>146462.14000000001</v>
      </c>
    </row>
    <row r="1202" spans="1:5" x14ac:dyDescent="0.25">
      <c r="A1202" s="3" t="s">
        <v>5</v>
      </c>
      <c r="B1202" s="3" t="s">
        <v>577</v>
      </c>
      <c r="C1202" s="3" t="s">
        <v>33</v>
      </c>
      <c r="D1202" s="4">
        <f>HYPERLINK("https://cao.dolgi.msk.ru/account/1060821526/", 1060821526)</f>
        <v>1060821526</v>
      </c>
      <c r="E1202" s="3">
        <v>3564.59</v>
      </c>
    </row>
    <row r="1203" spans="1:5" x14ac:dyDescent="0.25">
      <c r="A1203" s="3" t="s">
        <v>5</v>
      </c>
      <c r="B1203" s="3" t="s">
        <v>578</v>
      </c>
      <c r="C1203" s="3" t="s">
        <v>7</v>
      </c>
      <c r="D1203" s="4">
        <f>HYPERLINK("https://cao.dolgi.msk.ru/account/1069147507/", 1069147507)</f>
        <v>1069147507</v>
      </c>
      <c r="E1203" s="3">
        <v>8675.3799999999992</v>
      </c>
    </row>
    <row r="1204" spans="1:5" x14ac:dyDescent="0.25">
      <c r="A1204" s="3" t="s">
        <v>5</v>
      </c>
      <c r="B1204" s="3" t="s">
        <v>578</v>
      </c>
      <c r="C1204" s="3" t="s">
        <v>11</v>
      </c>
      <c r="D1204" s="4">
        <f>HYPERLINK("https://cao.dolgi.msk.ru/account/1069124823/", 1069124823)</f>
        <v>1069124823</v>
      </c>
      <c r="E1204" s="3">
        <v>6814.38</v>
      </c>
    </row>
    <row r="1205" spans="1:5" x14ac:dyDescent="0.25">
      <c r="A1205" s="3" t="s">
        <v>5</v>
      </c>
      <c r="B1205" s="3" t="s">
        <v>578</v>
      </c>
      <c r="C1205" s="3" t="s">
        <v>19</v>
      </c>
      <c r="D1205" s="4">
        <f>HYPERLINK("https://cao.dolgi.msk.ru/account/1069124305/", 1069124305)</f>
        <v>1069124305</v>
      </c>
      <c r="E1205" s="3">
        <v>8099.19</v>
      </c>
    </row>
    <row r="1206" spans="1:5" x14ac:dyDescent="0.25">
      <c r="A1206" s="3" t="s">
        <v>5</v>
      </c>
      <c r="B1206" s="3" t="s">
        <v>578</v>
      </c>
      <c r="C1206" s="3" t="s">
        <v>31</v>
      </c>
      <c r="D1206" s="4">
        <f>HYPERLINK("https://cao.dolgi.msk.ru/account/1069123388/", 1069123388)</f>
        <v>1069123388</v>
      </c>
      <c r="E1206" s="3">
        <v>9870.99</v>
      </c>
    </row>
    <row r="1207" spans="1:5" x14ac:dyDescent="0.25">
      <c r="A1207" s="3" t="s">
        <v>5</v>
      </c>
      <c r="B1207" s="3" t="s">
        <v>578</v>
      </c>
      <c r="C1207" s="3" t="s">
        <v>62</v>
      </c>
      <c r="D1207" s="4">
        <f>HYPERLINK("https://cao.dolgi.msk.ru/account/1069141711/", 1069141711)</f>
        <v>1069141711</v>
      </c>
      <c r="E1207" s="3">
        <v>36501.11</v>
      </c>
    </row>
    <row r="1208" spans="1:5" x14ac:dyDescent="0.25">
      <c r="A1208" s="3" t="s">
        <v>5</v>
      </c>
      <c r="B1208" s="3" t="s">
        <v>578</v>
      </c>
      <c r="C1208" s="3" t="s">
        <v>96</v>
      </c>
      <c r="D1208" s="4">
        <f>HYPERLINK("https://cao.dolgi.msk.ru/account/1069131572/", 1069131572)</f>
        <v>1069131572</v>
      </c>
      <c r="E1208" s="3">
        <v>3358.85</v>
      </c>
    </row>
    <row r="1209" spans="1:5" x14ac:dyDescent="0.25">
      <c r="A1209" s="3" t="s">
        <v>5</v>
      </c>
      <c r="B1209" s="3" t="s">
        <v>578</v>
      </c>
      <c r="C1209" s="3" t="s">
        <v>106</v>
      </c>
      <c r="D1209" s="4">
        <f>HYPERLINK("https://cao.dolgi.msk.ru/account/1069127741/", 1069127741)</f>
        <v>1069127741</v>
      </c>
      <c r="E1209" s="3">
        <v>19932.03</v>
      </c>
    </row>
    <row r="1210" spans="1:5" x14ac:dyDescent="0.25">
      <c r="A1210" s="3" t="s">
        <v>5</v>
      </c>
      <c r="B1210" s="3" t="s">
        <v>578</v>
      </c>
      <c r="C1210" s="3" t="s">
        <v>109</v>
      </c>
      <c r="D1210" s="4">
        <f>HYPERLINK("https://cao.dolgi.msk.ru/account/1069127848/", 1069127848)</f>
        <v>1069127848</v>
      </c>
      <c r="E1210" s="3">
        <v>27811.599999999999</v>
      </c>
    </row>
    <row r="1211" spans="1:5" x14ac:dyDescent="0.25">
      <c r="A1211" s="3" t="s">
        <v>5</v>
      </c>
      <c r="B1211" s="3" t="s">
        <v>578</v>
      </c>
      <c r="C1211" s="3" t="s">
        <v>115</v>
      </c>
      <c r="D1211" s="4">
        <f>HYPERLINK("https://cao.dolgi.msk.ru/account/1060853528/", 1060853528)</f>
        <v>1060853528</v>
      </c>
      <c r="E1211" s="3">
        <v>114341.15</v>
      </c>
    </row>
    <row r="1212" spans="1:5" x14ac:dyDescent="0.25">
      <c r="A1212" s="3" t="s">
        <v>5</v>
      </c>
      <c r="B1212" s="3" t="s">
        <v>578</v>
      </c>
      <c r="C1212" s="3" t="s">
        <v>155</v>
      </c>
      <c r="D1212" s="4">
        <f>HYPERLINK("https://cao.dolgi.msk.ru/account/1069123492/", 1069123492)</f>
        <v>1069123492</v>
      </c>
      <c r="E1212" s="3">
        <v>7880.99</v>
      </c>
    </row>
    <row r="1213" spans="1:5" x14ac:dyDescent="0.25">
      <c r="A1213" s="3" t="s">
        <v>5</v>
      </c>
      <c r="B1213" s="3" t="s">
        <v>578</v>
      </c>
      <c r="C1213" s="3" t="s">
        <v>159</v>
      </c>
      <c r="D1213" s="4">
        <f>HYPERLINK("https://cao.dolgi.msk.ru/account/1069124559/", 1069124559)</f>
        <v>1069124559</v>
      </c>
      <c r="E1213" s="3">
        <v>37372.47</v>
      </c>
    </row>
    <row r="1214" spans="1:5" x14ac:dyDescent="0.25">
      <c r="A1214" s="3" t="s">
        <v>5</v>
      </c>
      <c r="B1214" s="3" t="s">
        <v>578</v>
      </c>
      <c r="C1214" s="3" t="s">
        <v>179</v>
      </c>
      <c r="D1214" s="4">
        <f>HYPERLINK("https://cao.dolgi.msk.ru/account/1069124225/", 1069124225)</f>
        <v>1069124225</v>
      </c>
      <c r="E1214" s="3">
        <v>7968.53</v>
      </c>
    </row>
    <row r="1215" spans="1:5" x14ac:dyDescent="0.25">
      <c r="A1215" s="3" t="s">
        <v>5</v>
      </c>
      <c r="B1215" s="3" t="s">
        <v>578</v>
      </c>
      <c r="C1215" s="3" t="s">
        <v>180</v>
      </c>
      <c r="D1215" s="4">
        <f>HYPERLINK("https://cao.dolgi.msk.ru/account/1069147523/", 1069147523)</f>
        <v>1069147523</v>
      </c>
      <c r="E1215" s="3">
        <v>18114.349999999999</v>
      </c>
    </row>
    <row r="1216" spans="1:5" x14ac:dyDescent="0.25">
      <c r="A1216" s="3" t="s">
        <v>5</v>
      </c>
      <c r="B1216" s="3" t="s">
        <v>578</v>
      </c>
      <c r="C1216" s="3" t="s">
        <v>181</v>
      </c>
      <c r="D1216" s="4">
        <f>HYPERLINK("https://cao.dolgi.msk.ru/account/1069148497/", 1069148497)</f>
        <v>1069148497</v>
      </c>
      <c r="E1216" s="3">
        <v>424955.47</v>
      </c>
    </row>
    <row r="1217" spans="1:5" x14ac:dyDescent="0.25">
      <c r="A1217" s="3" t="s">
        <v>5</v>
      </c>
      <c r="B1217" s="3" t="s">
        <v>578</v>
      </c>
      <c r="C1217" s="3" t="s">
        <v>231</v>
      </c>
      <c r="D1217" s="4">
        <f>HYPERLINK("https://cao.dolgi.msk.ru/account/1069125121/", 1069125121)</f>
        <v>1069125121</v>
      </c>
      <c r="E1217" s="3">
        <v>3950.18</v>
      </c>
    </row>
    <row r="1218" spans="1:5" x14ac:dyDescent="0.25">
      <c r="A1218" s="3" t="s">
        <v>5</v>
      </c>
      <c r="B1218" s="3" t="s">
        <v>579</v>
      </c>
      <c r="C1218" s="3" t="s">
        <v>11</v>
      </c>
      <c r="D1218" s="4">
        <f>HYPERLINK("https://cao.dolgi.msk.ru/account/1069128218/", 1069128218)</f>
        <v>1069128218</v>
      </c>
      <c r="E1218" s="3">
        <v>3149.14</v>
      </c>
    </row>
    <row r="1219" spans="1:5" x14ac:dyDescent="0.25">
      <c r="A1219" s="3" t="s">
        <v>5</v>
      </c>
      <c r="B1219" s="3" t="s">
        <v>579</v>
      </c>
      <c r="C1219" s="3" t="s">
        <v>27</v>
      </c>
      <c r="D1219" s="4">
        <f>HYPERLINK("https://cao.dolgi.msk.ru/account/1069126394/", 1069126394)</f>
        <v>1069126394</v>
      </c>
      <c r="E1219" s="3">
        <v>17137.25</v>
      </c>
    </row>
    <row r="1220" spans="1:5" x14ac:dyDescent="0.25">
      <c r="A1220" s="3" t="s">
        <v>5</v>
      </c>
      <c r="B1220" s="3" t="s">
        <v>579</v>
      </c>
      <c r="C1220" s="3" t="s">
        <v>160</v>
      </c>
      <c r="D1220" s="4">
        <f>HYPERLINK("https://cao.dolgi.msk.ru/account/1069133957/", 1069133957)</f>
        <v>1069133957</v>
      </c>
      <c r="E1220" s="3">
        <v>5056.3900000000003</v>
      </c>
    </row>
    <row r="1221" spans="1:5" x14ac:dyDescent="0.25">
      <c r="A1221" s="3" t="s">
        <v>5</v>
      </c>
      <c r="B1221" s="3" t="s">
        <v>579</v>
      </c>
      <c r="C1221" s="3" t="s">
        <v>182</v>
      </c>
      <c r="D1221" s="4">
        <f>HYPERLINK("https://cao.dolgi.msk.ru/account/1069129923/", 1069129923)</f>
        <v>1069129923</v>
      </c>
      <c r="E1221" s="3">
        <v>3178.63</v>
      </c>
    </row>
    <row r="1222" spans="1:5" x14ac:dyDescent="0.25">
      <c r="A1222" s="3" t="s">
        <v>5</v>
      </c>
      <c r="B1222" s="3" t="s">
        <v>579</v>
      </c>
      <c r="C1222" s="3" t="s">
        <v>211</v>
      </c>
      <c r="D1222" s="4">
        <f>HYPERLINK("https://cao.dolgi.msk.ru/account/1069127338/", 1069127338)</f>
        <v>1069127338</v>
      </c>
      <c r="E1222" s="3">
        <v>23234.97</v>
      </c>
    </row>
    <row r="1223" spans="1:5" x14ac:dyDescent="0.25">
      <c r="A1223" s="3" t="s">
        <v>5</v>
      </c>
      <c r="B1223" s="3" t="s">
        <v>579</v>
      </c>
      <c r="C1223" s="3" t="s">
        <v>255</v>
      </c>
      <c r="D1223" s="4">
        <f>HYPERLINK("https://cao.dolgi.msk.ru/account/1069127194/", 1069127194)</f>
        <v>1069127194</v>
      </c>
      <c r="E1223" s="3">
        <v>41543.589999999997</v>
      </c>
    </row>
    <row r="1224" spans="1:5" x14ac:dyDescent="0.25">
      <c r="A1224" s="3" t="s">
        <v>5</v>
      </c>
      <c r="B1224" s="3" t="s">
        <v>579</v>
      </c>
      <c r="C1224" s="3" t="s">
        <v>256</v>
      </c>
      <c r="D1224" s="4">
        <f>HYPERLINK("https://cao.dolgi.msk.ru/account/1069133463/", 1069133463)</f>
        <v>1069133463</v>
      </c>
      <c r="E1224" s="3">
        <v>10670.53</v>
      </c>
    </row>
    <row r="1225" spans="1:5" x14ac:dyDescent="0.25">
      <c r="A1225" s="3" t="s">
        <v>5</v>
      </c>
      <c r="B1225" s="3" t="s">
        <v>579</v>
      </c>
      <c r="C1225" s="3" t="s">
        <v>285</v>
      </c>
      <c r="D1225" s="4">
        <f>HYPERLINK("https://cao.dolgi.msk.ru/account/1069126271/", 1069126271)</f>
        <v>1069126271</v>
      </c>
      <c r="E1225" s="3">
        <v>15298.06</v>
      </c>
    </row>
    <row r="1226" spans="1:5" x14ac:dyDescent="0.25">
      <c r="A1226" s="3" t="s">
        <v>5</v>
      </c>
      <c r="B1226" s="3" t="s">
        <v>579</v>
      </c>
      <c r="C1226" s="3" t="s">
        <v>286</v>
      </c>
      <c r="D1226" s="4">
        <f>HYPERLINK("https://cao.dolgi.msk.ru/account/1069128875/", 1069128875)</f>
        <v>1069128875</v>
      </c>
      <c r="E1226" s="3">
        <v>16163.14</v>
      </c>
    </row>
    <row r="1227" spans="1:5" x14ac:dyDescent="0.25">
      <c r="A1227" s="3" t="s">
        <v>5</v>
      </c>
      <c r="B1227" s="3" t="s">
        <v>580</v>
      </c>
      <c r="C1227" s="3" t="s">
        <v>142</v>
      </c>
      <c r="D1227" s="4">
        <f>HYPERLINK("https://cao.dolgi.msk.ru/account/1060079915/", 1060079915)</f>
        <v>1060079915</v>
      </c>
      <c r="E1227" s="3">
        <v>119766.73</v>
      </c>
    </row>
    <row r="1228" spans="1:5" x14ac:dyDescent="0.25">
      <c r="A1228" s="3" t="s">
        <v>5</v>
      </c>
      <c r="B1228" s="3" t="s">
        <v>580</v>
      </c>
      <c r="C1228" s="3" t="s">
        <v>12</v>
      </c>
      <c r="D1228" s="4">
        <f>HYPERLINK("https://cao.dolgi.msk.ru/account/1060771901/", 1060771901)</f>
        <v>1060771901</v>
      </c>
      <c r="E1228" s="3">
        <v>7115</v>
      </c>
    </row>
    <row r="1229" spans="1:5" x14ac:dyDescent="0.25">
      <c r="A1229" s="3" t="s">
        <v>5</v>
      </c>
      <c r="B1229" s="3" t="s">
        <v>580</v>
      </c>
      <c r="C1229" s="3" t="s">
        <v>47</v>
      </c>
      <c r="D1229" s="4">
        <f>HYPERLINK("https://cao.dolgi.msk.ru/account/1060098307/", 1060098307)</f>
        <v>1060098307</v>
      </c>
      <c r="E1229" s="3">
        <v>19955.43</v>
      </c>
    </row>
    <row r="1230" spans="1:5" x14ac:dyDescent="0.25">
      <c r="A1230" s="3" t="s">
        <v>5</v>
      </c>
      <c r="B1230" s="3" t="s">
        <v>580</v>
      </c>
      <c r="C1230" s="3" t="s">
        <v>55</v>
      </c>
      <c r="D1230" s="4">
        <f>HYPERLINK("https://cao.dolgi.msk.ru/account/1060080975/", 1060080975)</f>
        <v>1060080975</v>
      </c>
      <c r="E1230" s="3">
        <v>9090.77</v>
      </c>
    </row>
    <row r="1231" spans="1:5" x14ac:dyDescent="0.25">
      <c r="A1231" s="3" t="s">
        <v>5</v>
      </c>
      <c r="B1231" s="3" t="s">
        <v>580</v>
      </c>
      <c r="C1231" s="3" t="s">
        <v>75</v>
      </c>
      <c r="D1231" s="4">
        <f>HYPERLINK("https://cao.dolgi.msk.ru/account/1060081759/", 1060081759)</f>
        <v>1060081759</v>
      </c>
      <c r="E1231" s="3">
        <v>4456.08</v>
      </c>
    </row>
    <row r="1232" spans="1:5" x14ac:dyDescent="0.25">
      <c r="A1232" s="3" t="s">
        <v>5</v>
      </c>
      <c r="B1232" s="3" t="s">
        <v>580</v>
      </c>
      <c r="C1232" s="3" t="s">
        <v>156</v>
      </c>
      <c r="D1232" s="4">
        <f>HYPERLINK("https://cao.dolgi.msk.ru/account/1060082946/", 1060082946)</f>
        <v>1060082946</v>
      </c>
      <c r="E1232" s="3">
        <v>88071.37</v>
      </c>
    </row>
    <row r="1233" spans="1:5" x14ac:dyDescent="0.25">
      <c r="A1233" s="3" t="s">
        <v>5</v>
      </c>
      <c r="B1233" s="3" t="s">
        <v>581</v>
      </c>
      <c r="C1233" s="3" t="s">
        <v>130</v>
      </c>
      <c r="D1233" s="4">
        <f>HYPERLINK("https://cao.dolgi.msk.ru/account/1060370462/", 1060370462)</f>
        <v>1060370462</v>
      </c>
      <c r="E1233" s="3">
        <v>5402.21</v>
      </c>
    </row>
    <row r="1234" spans="1:5" x14ac:dyDescent="0.25">
      <c r="A1234" s="3" t="s">
        <v>5</v>
      </c>
      <c r="B1234" s="3" t="s">
        <v>581</v>
      </c>
      <c r="C1234" s="3" t="s">
        <v>135</v>
      </c>
      <c r="D1234" s="4">
        <f>HYPERLINK("https://cao.dolgi.msk.ru/account/1060370577/", 1060370577)</f>
        <v>1060370577</v>
      </c>
      <c r="E1234" s="3">
        <v>81376.070000000007</v>
      </c>
    </row>
    <row r="1235" spans="1:5" x14ac:dyDescent="0.25">
      <c r="A1235" s="3" t="s">
        <v>5</v>
      </c>
      <c r="B1235" s="3" t="s">
        <v>581</v>
      </c>
      <c r="C1235" s="3" t="s">
        <v>7</v>
      </c>
      <c r="D1235" s="4">
        <f>HYPERLINK("https://cao.dolgi.msk.ru/account/1060370673/", 1060370673)</f>
        <v>1060370673</v>
      </c>
      <c r="E1235" s="3">
        <v>5591.84</v>
      </c>
    </row>
    <row r="1236" spans="1:5" x14ac:dyDescent="0.25">
      <c r="A1236" s="3" t="s">
        <v>5</v>
      </c>
      <c r="B1236" s="3" t="s">
        <v>581</v>
      </c>
      <c r="C1236" s="3" t="s">
        <v>29</v>
      </c>
      <c r="D1236" s="4">
        <f>HYPERLINK("https://cao.dolgi.msk.ru/account/1060370913/", 1060370913)</f>
        <v>1060370913</v>
      </c>
      <c r="E1236" s="3">
        <v>34652.44</v>
      </c>
    </row>
    <row r="1237" spans="1:5" x14ac:dyDescent="0.25">
      <c r="A1237" s="3" t="s">
        <v>5</v>
      </c>
      <c r="B1237" s="3" t="s">
        <v>581</v>
      </c>
      <c r="C1237" s="3" t="s">
        <v>31</v>
      </c>
      <c r="D1237" s="4">
        <f>HYPERLINK("https://cao.dolgi.msk.ru/account/1060370921/", 1060370921)</f>
        <v>1060370921</v>
      </c>
      <c r="E1237" s="3">
        <v>3804.02</v>
      </c>
    </row>
    <row r="1238" spans="1:5" x14ac:dyDescent="0.25">
      <c r="A1238" s="3" t="s">
        <v>5</v>
      </c>
      <c r="B1238" s="3" t="s">
        <v>581</v>
      </c>
      <c r="C1238" s="3" t="s">
        <v>38</v>
      </c>
      <c r="D1238" s="4">
        <f>HYPERLINK("https://cao.dolgi.msk.ru/account/1060371027/", 1060371027)</f>
        <v>1060371027</v>
      </c>
      <c r="E1238" s="3">
        <v>1812.8</v>
      </c>
    </row>
    <row r="1239" spans="1:5" x14ac:dyDescent="0.25">
      <c r="A1239" s="3" t="s">
        <v>5</v>
      </c>
      <c r="B1239" s="3" t="s">
        <v>581</v>
      </c>
      <c r="C1239" s="3" t="s">
        <v>42</v>
      </c>
      <c r="D1239" s="4">
        <f>HYPERLINK("https://cao.dolgi.msk.ru/account/1060371078/", 1060371078)</f>
        <v>1060371078</v>
      </c>
      <c r="E1239" s="3">
        <v>12885.74</v>
      </c>
    </row>
    <row r="1240" spans="1:5" x14ac:dyDescent="0.25">
      <c r="A1240" s="3" t="s">
        <v>5</v>
      </c>
      <c r="B1240" s="3" t="s">
        <v>581</v>
      </c>
      <c r="C1240" s="3" t="s">
        <v>53</v>
      </c>
      <c r="D1240" s="4">
        <f>HYPERLINK("https://cao.dolgi.msk.ru/account/1060371182/", 1060371182)</f>
        <v>1060371182</v>
      </c>
      <c r="E1240" s="3">
        <v>19613.669999999998</v>
      </c>
    </row>
    <row r="1241" spans="1:5" x14ac:dyDescent="0.25">
      <c r="A1241" s="3" t="s">
        <v>5</v>
      </c>
      <c r="B1241" s="3" t="s">
        <v>581</v>
      </c>
      <c r="C1241" s="3" t="s">
        <v>78</v>
      </c>
      <c r="D1241" s="4">
        <f>HYPERLINK("https://cao.dolgi.msk.ru/account/1060371449/", 1060371449)</f>
        <v>1060371449</v>
      </c>
      <c r="E1241" s="3">
        <v>12827.31</v>
      </c>
    </row>
    <row r="1242" spans="1:5" x14ac:dyDescent="0.25">
      <c r="A1242" s="3" t="s">
        <v>5</v>
      </c>
      <c r="B1242" s="3" t="s">
        <v>582</v>
      </c>
      <c r="C1242" s="3" t="s">
        <v>133</v>
      </c>
      <c r="D1242" s="4">
        <f>HYPERLINK("https://cao.dolgi.msk.ru/account/1060372337/", 1060372337)</f>
        <v>1060372337</v>
      </c>
      <c r="E1242" s="3">
        <v>10849.6</v>
      </c>
    </row>
    <row r="1243" spans="1:5" x14ac:dyDescent="0.25">
      <c r="A1243" s="3" t="s">
        <v>5</v>
      </c>
      <c r="B1243" s="3" t="s">
        <v>582</v>
      </c>
      <c r="C1243" s="3" t="s">
        <v>137</v>
      </c>
      <c r="D1243" s="4">
        <f>HYPERLINK("https://cao.dolgi.msk.ru/account/1060372388/", 1060372388)</f>
        <v>1060372388</v>
      </c>
      <c r="E1243" s="3">
        <v>12469.31</v>
      </c>
    </row>
    <row r="1244" spans="1:5" x14ac:dyDescent="0.25">
      <c r="A1244" s="3" t="s">
        <v>5</v>
      </c>
      <c r="B1244" s="3" t="s">
        <v>582</v>
      </c>
      <c r="C1244" s="3" t="s">
        <v>23</v>
      </c>
      <c r="D1244" s="4">
        <f>HYPERLINK("https://cao.dolgi.msk.ru/account/1060372636/", 1060372636)</f>
        <v>1060372636</v>
      </c>
      <c r="E1244" s="3">
        <v>12403.14</v>
      </c>
    </row>
    <row r="1245" spans="1:5" x14ac:dyDescent="0.25">
      <c r="A1245" s="3" t="s">
        <v>5</v>
      </c>
      <c r="B1245" s="3" t="s">
        <v>582</v>
      </c>
      <c r="C1245" s="3" t="s">
        <v>47</v>
      </c>
      <c r="D1245" s="4">
        <f>HYPERLINK("https://cao.dolgi.msk.ru/account/1060372919/", 1060372919)</f>
        <v>1060372919</v>
      </c>
      <c r="E1245" s="3">
        <v>10585.28</v>
      </c>
    </row>
    <row r="1246" spans="1:5" x14ac:dyDescent="0.25">
      <c r="A1246" s="3" t="s">
        <v>5</v>
      </c>
      <c r="B1246" s="3" t="s">
        <v>582</v>
      </c>
      <c r="C1246" s="3" t="s">
        <v>48</v>
      </c>
      <c r="D1246" s="4">
        <f>HYPERLINK("https://cao.dolgi.msk.ru/account/1060372927/", 1060372927)</f>
        <v>1060372927</v>
      </c>
      <c r="E1246" s="3">
        <v>12445.9</v>
      </c>
    </row>
    <row r="1247" spans="1:5" x14ac:dyDescent="0.25">
      <c r="A1247" s="3" t="s">
        <v>5</v>
      </c>
      <c r="B1247" s="3" t="s">
        <v>582</v>
      </c>
      <c r="C1247" s="3" t="s">
        <v>74</v>
      </c>
      <c r="D1247" s="4">
        <f>HYPERLINK("https://cao.dolgi.msk.ru/account/1060373161/", 1060373161)</f>
        <v>1060373161</v>
      </c>
      <c r="E1247" s="3">
        <v>8934.65</v>
      </c>
    </row>
    <row r="1248" spans="1:5" x14ac:dyDescent="0.25">
      <c r="A1248" s="3" t="s">
        <v>5</v>
      </c>
      <c r="B1248" s="3" t="s">
        <v>583</v>
      </c>
      <c r="C1248" s="3" t="s">
        <v>22</v>
      </c>
      <c r="D1248" s="4">
        <f>HYPERLINK("https://cao.dolgi.msk.ru/account/1060373655/", 1060373655)</f>
        <v>1060373655</v>
      </c>
      <c r="E1248" s="3">
        <v>27447.53</v>
      </c>
    </row>
    <row r="1249" spans="1:5" x14ac:dyDescent="0.25">
      <c r="A1249" s="3" t="s">
        <v>5</v>
      </c>
      <c r="B1249" s="3" t="s">
        <v>583</v>
      </c>
      <c r="C1249" s="3" t="s">
        <v>33</v>
      </c>
      <c r="D1249" s="4">
        <f>HYPERLINK("https://cao.dolgi.msk.ru/account/1060373786/", 1060373786)</f>
        <v>1060373786</v>
      </c>
      <c r="E1249" s="3">
        <v>7640.2</v>
      </c>
    </row>
    <row r="1250" spans="1:5" x14ac:dyDescent="0.25">
      <c r="A1250" s="3" t="s">
        <v>5</v>
      </c>
      <c r="B1250" s="3" t="s">
        <v>583</v>
      </c>
      <c r="C1250" s="3" t="s">
        <v>35</v>
      </c>
      <c r="D1250" s="4">
        <f>HYPERLINK("https://cao.dolgi.msk.ru/account/1060373807/", 1060373807)</f>
        <v>1060373807</v>
      </c>
      <c r="E1250" s="3">
        <v>45012.46</v>
      </c>
    </row>
    <row r="1251" spans="1:5" x14ac:dyDescent="0.25">
      <c r="A1251" s="3" t="s">
        <v>5</v>
      </c>
      <c r="B1251" s="3" t="s">
        <v>583</v>
      </c>
      <c r="C1251" s="3" t="s">
        <v>46</v>
      </c>
      <c r="D1251" s="4">
        <f>HYPERLINK("https://cao.dolgi.msk.ru/account/1060373946/", 1060373946)</f>
        <v>1060373946</v>
      </c>
      <c r="E1251" s="3">
        <v>11515.63</v>
      </c>
    </row>
    <row r="1252" spans="1:5" x14ac:dyDescent="0.25">
      <c r="A1252" s="3" t="s">
        <v>5</v>
      </c>
      <c r="B1252" s="3" t="s">
        <v>583</v>
      </c>
      <c r="C1252" s="3" t="s">
        <v>53</v>
      </c>
      <c r="D1252" s="4">
        <f>HYPERLINK("https://cao.dolgi.msk.ru/account/1060374017/", 1060374017)</f>
        <v>1060374017</v>
      </c>
      <c r="E1252" s="3">
        <v>17730.419999999998</v>
      </c>
    </row>
    <row r="1253" spans="1:5" x14ac:dyDescent="0.25">
      <c r="A1253" s="3" t="s">
        <v>5</v>
      </c>
      <c r="B1253" s="3" t="s">
        <v>583</v>
      </c>
      <c r="C1253" s="3" t="s">
        <v>75</v>
      </c>
      <c r="D1253" s="4">
        <f>HYPERLINK("https://cao.dolgi.msk.ru/account/1060374228/", 1060374228)</f>
        <v>1060374228</v>
      </c>
      <c r="E1253" s="3">
        <v>7189.4</v>
      </c>
    </row>
    <row r="1254" spans="1:5" x14ac:dyDescent="0.25">
      <c r="A1254" s="3" t="s">
        <v>5</v>
      </c>
      <c r="B1254" s="3" t="s">
        <v>583</v>
      </c>
      <c r="C1254" s="3" t="s">
        <v>90</v>
      </c>
      <c r="D1254" s="4">
        <f>HYPERLINK("https://cao.dolgi.msk.ru/account/1060374391/", 1060374391)</f>
        <v>1060374391</v>
      </c>
      <c r="E1254" s="3">
        <v>14498.26</v>
      </c>
    </row>
    <row r="1255" spans="1:5" x14ac:dyDescent="0.25">
      <c r="A1255" s="3" t="s">
        <v>5</v>
      </c>
      <c r="B1255" s="3" t="s">
        <v>583</v>
      </c>
      <c r="C1255" s="3" t="s">
        <v>145</v>
      </c>
      <c r="D1255" s="4">
        <f>HYPERLINK("https://cao.dolgi.msk.ru/account/1060374578/", 1060374578)</f>
        <v>1060374578</v>
      </c>
      <c r="E1255" s="3">
        <v>4355.37</v>
      </c>
    </row>
    <row r="1256" spans="1:5" x14ac:dyDescent="0.25">
      <c r="A1256" s="3" t="s">
        <v>5</v>
      </c>
      <c r="B1256" s="3" t="s">
        <v>584</v>
      </c>
      <c r="C1256" s="3" t="s">
        <v>135</v>
      </c>
      <c r="D1256" s="4">
        <f>HYPERLINK("https://cao.dolgi.msk.ru/account/1060081863/", 1060081863)</f>
        <v>1060081863</v>
      </c>
      <c r="E1256" s="3">
        <v>40417.660000000003</v>
      </c>
    </row>
    <row r="1257" spans="1:5" x14ac:dyDescent="0.25">
      <c r="A1257" s="3" t="s">
        <v>5</v>
      </c>
      <c r="B1257" s="3" t="s">
        <v>584</v>
      </c>
      <c r="C1257" s="3" t="s">
        <v>139</v>
      </c>
      <c r="D1257" s="4">
        <f>HYPERLINK("https://cao.dolgi.msk.ru/account/1060082073/", 1060082073)</f>
        <v>1060082073</v>
      </c>
      <c r="E1257" s="3">
        <v>26352.92</v>
      </c>
    </row>
    <row r="1258" spans="1:5" x14ac:dyDescent="0.25">
      <c r="A1258" s="3" t="s">
        <v>5</v>
      </c>
      <c r="B1258" s="3" t="s">
        <v>584</v>
      </c>
      <c r="C1258" s="3" t="s">
        <v>143</v>
      </c>
      <c r="D1258" s="4">
        <f>HYPERLINK("https://cao.dolgi.msk.ru/account/1060082137/", 1060082137)</f>
        <v>1060082137</v>
      </c>
      <c r="E1258" s="3">
        <v>17821.189999999999</v>
      </c>
    </row>
    <row r="1259" spans="1:5" x14ac:dyDescent="0.25">
      <c r="A1259" s="3" t="s">
        <v>5</v>
      </c>
      <c r="B1259" s="3" t="s">
        <v>584</v>
      </c>
      <c r="C1259" s="3" t="s">
        <v>23</v>
      </c>
      <c r="D1259" s="4">
        <f>HYPERLINK("https://cao.dolgi.msk.ru/account/1060082292/", 1060082292)</f>
        <v>1060082292</v>
      </c>
      <c r="E1259" s="3">
        <v>5988.72</v>
      </c>
    </row>
    <row r="1260" spans="1:5" x14ac:dyDescent="0.25">
      <c r="A1260" s="3" t="s">
        <v>5</v>
      </c>
      <c r="B1260" s="3" t="s">
        <v>584</v>
      </c>
      <c r="C1260" s="3" t="s">
        <v>24</v>
      </c>
      <c r="D1260" s="4">
        <f>HYPERLINK("https://cao.dolgi.msk.ru/account/1060085477/", 1060085477)</f>
        <v>1060085477</v>
      </c>
      <c r="E1260" s="3">
        <v>13844.84</v>
      </c>
    </row>
    <row r="1261" spans="1:5" x14ac:dyDescent="0.25">
      <c r="A1261" s="3" t="s">
        <v>5</v>
      </c>
      <c r="B1261" s="3" t="s">
        <v>584</v>
      </c>
      <c r="C1261" s="3" t="s">
        <v>28</v>
      </c>
      <c r="D1261" s="4">
        <f>HYPERLINK("https://cao.dolgi.msk.ru/account/1060082348/", 1060082348)</f>
        <v>1060082348</v>
      </c>
      <c r="E1261" s="3">
        <v>153228.53</v>
      </c>
    </row>
    <row r="1262" spans="1:5" x14ac:dyDescent="0.25">
      <c r="A1262" s="3" t="s">
        <v>5</v>
      </c>
      <c r="B1262" s="3" t="s">
        <v>584</v>
      </c>
      <c r="C1262" s="3" t="s">
        <v>32</v>
      </c>
      <c r="D1262" s="4">
        <f>HYPERLINK("https://cao.dolgi.msk.ru/account/1060082372/", 1060082372)</f>
        <v>1060082372</v>
      </c>
      <c r="E1262" s="3">
        <v>22650.07</v>
      </c>
    </row>
    <row r="1263" spans="1:5" x14ac:dyDescent="0.25">
      <c r="A1263" s="3" t="s">
        <v>5</v>
      </c>
      <c r="B1263" s="3" t="s">
        <v>584</v>
      </c>
      <c r="C1263" s="3" t="s">
        <v>42</v>
      </c>
      <c r="D1263" s="4">
        <f>HYPERLINK("https://cao.dolgi.msk.ru/account/1060773499/", 1060773499)</f>
        <v>1060773499</v>
      </c>
      <c r="E1263" s="3">
        <v>22536.73</v>
      </c>
    </row>
    <row r="1264" spans="1:5" x14ac:dyDescent="0.25">
      <c r="A1264" s="3" t="s">
        <v>5</v>
      </c>
      <c r="B1264" s="3" t="s">
        <v>584</v>
      </c>
      <c r="C1264" s="3" t="s">
        <v>50</v>
      </c>
      <c r="D1264" s="4">
        <f>HYPERLINK("https://cao.dolgi.msk.ru/account/1060771303/", 1060771303)</f>
        <v>1060771303</v>
      </c>
      <c r="E1264" s="3">
        <v>22641.91</v>
      </c>
    </row>
    <row r="1265" spans="1:5" x14ac:dyDescent="0.25">
      <c r="A1265" s="3" t="s">
        <v>5</v>
      </c>
      <c r="B1265" s="3" t="s">
        <v>584</v>
      </c>
      <c r="C1265" s="3" t="s">
        <v>60</v>
      </c>
      <c r="D1265" s="4">
        <f>HYPERLINK("https://cao.dolgi.msk.ru/account/1060083527/", 1060083527)</f>
        <v>1060083527</v>
      </c>
      <c r="E1265" s="3">
        <v>16929.16</v>
      </c>
    </row>
    <row r="1266" spans="1:5" x14ac:dyDescent="0.25">
      <c r="A1266" s="3" t="s">
        <v>5</v>
      </c>
      <c r="B1266" s="3" t="s">
        <v>584</v>
      </c>
      <c r="C1266" s="3" t="s">
        <v>74</v>
      </c>
      <c r="D1266" s="4">
        <f>HYPERLINK("https://cao.dolgi.msk.ru/account/1060095923/", 1060095923)</f>
        <v>1060095923</v>
      </c>
      <c r="E1266" s="3">
        <v>13499.13</v>
      </c>
    </row>
    <row r="1267" spans="1:5" x14ac:dyDescent="0.25">
      <c r="A1267" s="3" t="s">
        <v>5</v>
      </c>
      <c r="B1267" s="3" t="s">
        <v>584</v>
      </c>
      <c r="C1267" s="3" t="s">
        <v>82</v>
      </c>
      <c r="D1267" s="4">
        <f>HYPERLINK("https://cao.dolgi.msk.ru/account/1060097494/", 1060097494)</f>
        <v>1060097494</v>
      </c>
      <c r="E1267" s="3">
        <v>5353.38</v>
      </c>
    </row>
    <row r="1268" spans="1:5" x14ac:dyDescent="0.25">
      <c r="A1268" s="3" t="s">
        <v>5</v>
      </c>
      <c r="B1268" s="3" t="s">
        <v>584</v>
      </c>
      <c r="C1268" s="3" t="s">
        <v>114</v>
      </c>
      <c r="D1268" s="4">
        <f>HYPERLINK("https://cao.dolgi.msk.ru/account/1060082604/", 1060082604)</f>
        <v>1060082604</v>
      </c>
      <c r="E1268" s="3">
        <v>5680.26</v>
      </c>
    </row>
    <row r="1269" spans="1:5" x14ac:dyDescent="0.25">
      <c r="A1269" s="3" t="s">
        <v>5</v>
      </c>
      <c r="B1269" s="3" t="s">
        <v>584</v>
      </c>
      <c r="C1269" s="3" t="s">
        <v>149</v>
      </c>
      <c r="D1269" s="4">
        <f>HYPERLINK("https://cao.dolgi.msk.ru/account/1060097654/", 1060097654)</f>
        <v>1060097654</v>
      </c>
      <c r="E1269" s="3">
        <v>16542.79</v>
      </c>
    </row>
    <row r="1270" spans="1:5" x14ac:dyDescent="0.25">
      <c r="A1270" s="3" t="s">
        <v>5</v>
      </c>
      <c r="B1270" s="3" t="s">
        <v>584</v>
      </c>
      <c r="C1270" s="3" t="s">
        <v>160</v>
      </c>
      <c r="D1270" s="4">
        <f>HYPERLINK("https://cao.dolgi.msk.ru/account/1060083543/", 1060083543)</f>
        <v>1060083543</v>
      </c>
      <c r="E1270" s="3">
        <v>84920.95</v>
      </c>
    </row>
    <row r="1271" spans="1:5" x14ac:dyDescent="0.25">
      <c r="A1271" s="3" t="s">
        <v>5</v>
      </c>
      <c r="B1271" s="3" t="s">
        <v>584</v>
      </c>
      <c r="C1271" s="3" t="s">
        <v>168</v>
      </c>
      <c r="D1271" s="4">
        <f>HYPERLINK("https://cao.dolgi.msk.ru/account/1060091797/", 1060091797)</f>
        <v>1060091797</v>
      </c>
      <c r="E1271" s="3">
        <v>6853.85</v>
      </c>
    </row>
    <row r="1272" spans="1:5" x14ac:dyDescent="0.25">
      <c r="A1272" s="3" t="s">
        <v>5</v>
      </c>
      <c r="B1272" s="3" t="s">
        <v>584</v>
      </c>
      <c r="C1272" s="3" t="s">
        <v>177</v>
      </c>
      <c r="D1272" s="4">
        <f>HYPERLINK("https://cao.dolgi.msk.ru/account/1060086939/", 1060086939)</f>
        <v>1060086939</v>
      </c>
      <c r="E1272" s="3">
        <v>18816.39</v>
      </c>
    </row>
    <row r="1273" spans="1:5" x14ac:dyDescent="0.25">
      <c r="A1273" s="3" t="s">
        <v>5</v>
      </c>
      <c r="B1273" s="3" t="s">
        <v>584</v>
      </c>
      <c r="C1273" s="3" t="s">
        <v>198</v>
      </c>
      <c r="D1273" s="4">
        <f>HYPERLINK("https://cao.dolgi.msk.ru/account/1060096029/", 1060096029)</f>
        <v>1060096029</v>
      </c>
      <c r="E1273" s="3">
        <v>10065.42</v>
      </c>
    </row>
    <row r="1274" spans="1:5" x14ac:dyDescent="0.25">
      <c r="A1274" s="3" t="s">
        <v>5</v>
      </c>
      <c r="B1274" s="3" t="s">
        <v>584</v>
      </c>
      <c r="C1274" s="3" t="s">
        <v>211</v>
      </c>
      <c r="D1274" s="4">
        <f>HYPERLINK("https://cao.dolgi.msk.ru/account/1060083834/", 1060083834)</f>
        <v>1060083834</v>
      </c>
      <c r="E1274" s="3">
        <v>6285</v>
      </c>
    </row>
    <row r="1275" spans="1:5" x14ac:dyDescent="0.25">
      <c r="A1275" s="3" t="s">
        <v>5</v>
      </c>
      <c r="B1275" s="3" t="s">
        <v>585</v>
      </c>
      <c r="C1275" s="3" t="s">
        <v>138</v>
      </c>
      <c r="D1275" s="4">
        <f>HYPERLINK("https://cao.dolgi.msk.ru/account/1060080545/", 1060080545)</f>
        <v>1060080545</v>
      </c>
      <c r="E1275" s="3">
        <v>14240.88</v>
      </c>
    </row>
    <row r="1276" spans="1:5" x14ac:dyDescent="0.25">
      <c r="A1276" s="3" t="s">
        <v>5</v>
      </c>
      <c r="B1276" s="3" t="s">
        <v>585</v>
      </c>
      <c r="C1276" s="3" t="s">
        <v>140</v>
      </c>
      <c r="D1276" s="4">
        <f>HYPERLINK("https://cao.dolgi.msk.ru/account/1060095747/", 1060095747)</f>
        <v>1060095747</v>
      </c>
      <c r="E1276" s="3">
        <v>7769.82</v>
      </c>
    </row>
    <row r="1277" spans="1:5" x14ac:dyDescent="0.25">
      <c r="A1277" s="3" t="s">
        <v>5</v>
      </c>
      <c r="B1277" s="3" t="s">
        <v>585</v>
      </c>
      <c r="C1277" s="3" t="s">
        <v>142</v>
      </c>
      <c r="D1277" s="4">
        <f>HYPERLINK("https://cao.dolgi.msk.ru/account/1060080553/", 1060080553)</f>
        <v>1060080553</v>
      </c>
      <c r="E1277" s="3">
        <v>3378.47</v>
      </c>
    </row>
    <row r="1278" spans="1:5" x14ac:dyDescent="0.25">
      <c r="A1278" s="3" t="s">
        <v>5</v>
      </c>
      <c r="B1278" s="3" t="s">
        <v>585</v>
      </c>
      <c r="C1278" s="3" t="s">
        <v>14</v>
      </c>
      <c r="D1278" s="4">
        <f>HYPERLINK("https://cao.dolgi.msk.ru/account/1060081812/", 1060081812)</f>
        <v>1060081812</v>
      </c>
      <c r="E1278" s="3">
        <v>124750.39</v>
      </c>
    </row>
    <row r="1279" spans="1:5" x14ac:dyDescent="0.25">
      <c r="A1279" s="3" t="s">
        <v>5</v>
      </c>
      <c r="B1279" s="3" t="s">
        <v>585</v>
      </c>
      <c r="C1279" s="3" t="s">
        <v>38</v>
      </c>
      <c r="D1279" s="4">
        <f>HYPERLINK("https://cao.dolgi.msk.ru/account/1060889328/", 1060889328)</f>
        <v>1060889328</v>
      </c>
      <c r="E1279" s="3">
        <v>3034.03</v>
      </c>
    </row>
    <row r="1280" spans="1:5" x14ac:dyDescent="0.25">
      <c r="A1280" s="3" t="s">
        <v>5</v>
      </c>
      <c r="B1280" s="3" t="s">
        <v>585</v>
      </c>
      <c r="C1280" s="3" t="s">
        <v>59</v>
      </c>
      <c r="D1280" s="4">
        <f>HYPERLINK("https://cao.dolgi.msk.ru/account/1060091447/", 1060091447)</f>
        <v>1060091447</v>
      </c>
      <c r="E1280" s="3">
        <v>6534.81</v>
      </c>
    </row>
    <row r="1281" spans="1:5" x14ac:dyDescent="0.25">
      <c r="A1281" s="3" t="s">
        <v>5</v>
      </c>
      <c r="B1281" s="3" t="s">
        <v>585</v>
      </c>
      <c r="C1281" s="3" t="s">
        <v>63</v>
      </c>
      <c r="D1281" s="4">
        <f>HYPERLINK("https://cao.dolgi.msk.ru/account/1060091666/", 1060091666)</f>
        <v>1060091666</v>
      </c>
      <c r="E1281" s="3">
        <v>5459.79</v>
      </c>
    </row>
    <row r="1282" spans="1:5" x14ac:dyDescent="0.25">
      <c r="A1282" s="3" t="s">
        <v>5</v>
      </c>
      <c r="B1282" s="3" t="s">
        <v>585</v>
      </c>
      <c r="C1282" s="3" t="s">
        <v>88</v>
      </c>
      <c r="D1282" s="4">
        <f>HYPERLINK("https://cao.dolgi.msk.ru/account/1060080342/", 1060080342)</f>
        <v>1060080342</v>
      </c>
      <c r="E1282" s="3">
        <v>7472.88</v>
      </c>
    </row>
    <row r="1283" spans="1:5" x14ac:dyDescent="0.25">
      <c r="A1283" s="3" t="s">
        <v>5</v>
      </c>
      <c r="B1283" s="3" t="s">
        <v>585</v>
      </c>
      <c r="C1283" s="3" t="s">
        <v>145</v>
      </c>
      <c r="D1283" s="4">
        <f>HYPERLINK("https://cao.dolgi.msk.ru/account/1060079608/", 1060079608)</f>
        <v>1060079608</v>
      </c>
      <c r="E1283" s="3">
        <v>13030.39</v>
      </c>
    </row>
    <row r="1284" spans="1:5" x14ac:dyDescent="0.25">
      <c r="A1284" s="3" t="s">
        <v>5</v>
      </c>
      <c r="B1284" s="3" t="s">
        <v>585</v>
      </c>
      <c r="C1284" s="3" t="s">
        <v>115</v>
      </c>
      <c r="D1284" s="4">
        <f>HYPERLINK("https://cao.dolgi.msk.ru/account/1060085338/", 1060085338)</f>
        <v>1060085338</v>
      </c>
      <c r="E1284" s="3">
        <v>45486.74</v>
      </c>
    </row>
    <row r="1285" spans="1:5" x14ac:dyDescent="0.25">
      <c r="A1285" s="3" t="s">
        <v>5</v>
      </c>
      <c r="B1285" s="3" t="s">
        <v>586</v>
      </c>
      <c r="C1285" s="3" t="s">
        <v>30</v>
      </c>
      <c r="D1285" s="4">
        <f>HYPERLINK("https://cao.dolgi.msk.ru/account/1060060982/", 1060060982)</f>
        <v>1060060982</v>
      </c>
      <c r="E1285" s="3">
        <v>35893.620000000003</v>
      </c>
    </row>
    <row r="1286" spans="1:5" x14ac:dyDescent="0.25">
      <c r="A1286" s="3" t="s">
        <v>5</v>
      </c>
      <c r="B1286" s="3" t="s">
        <v>586</v>
      </c>
      <c r="C1286" s="3" t="s">
        <v>89</v>
      </c>
      <c r="D1286" s="4">
        <f>HYPERLINK("https://cao.dolgi.msk.ru/account/1060061045/", 1060061045)</f>
        <v>1060061045</v>
      </c>
      <c r="E1286" s="3">
        <v>18035.419999999998</v>
      </c>
    </row>
    <row r="1287" spans="1:5" x14ac:dyDescent="0.25">
      <c r="A1287" s="3" t="s">
        <v>5</v>
      </c>
      <c r="B1287" s="3" t="s">
        <v>586</v>
      </c>
      <c r="C1287" s="3" t="s">
        <v>105</v>
      </c>
      <c r="D1287" s="4">
        <f>HYPERLINK("https://cao.dolgi.msk.ru/account/1060061053/", 1060061053)</f>
        <v>1060061053</v>
      </c>
      <c r="E1287" s="3">
        <v>24069.91</v>
      </c>
    </row>
    <row r="1288" spans="1:5" x14ac:dyDescent="0.25">
      <c r="A1288" s="3" t="s">
        <v>5</v>
      </c>
      <c r="B1288" s="3" t="s">
        <v>586</v>
      </c>
      <c r="C1288" s="3" t="s">
        <v>132</v>
      </c>
      <c r="D1288" s="4">
        <f>HYPERLINK("https://cao.dolgi.msk.ru/account/1060061061/", 1060061061)</f>
        <v>1060061061</v>
      </c>
      <c r="E1288" s="3">
        <v>16233.79</v>
      </c>
    </row>
    <row r="1289" spans="1:5" x14ac:dyDescent="0.25">
      <c r="A1289" s="3" t="s">
        <v>5</v>
      </c>
      <c r="B1289" s="3" t="s">
        <v>586</v>
      </c>
      <c r="C1289" s="3" t="s">
        <v>135</v>
      </c>
      <c r="D1289" s="4">
        <f>HYPERLINK("https://cao.dolgi.msk.ru/account/1060061109/", 1060061109)</f>
        <v>1060061109</v>
      </c>
      <c r="E1289" s="3">
        <v>177831.18</v>
      </c>
    </row>
    <row r="1290" spans="1:5" x14ac:dyDescent="0.25">
      <c r="A1290" s="3" t="s">
        <v>5</v>
      </c>
      <c r="B1290" s="3" t="s">
        <v>586</v>
      </c>
      <c r="C1290" s="3" t="s">
        <v>139</v>
      </c>
      <c r="D1290" s="4">
        <f>HYPERLINK("https://cao.dolgi.msk.ru/account/1060061141/", 1060061141)</f>
        <v>1060061141</v>
      </c>
      <c r="E1290" s="3">
        <v>6412.56</v>
      </c>
    </row>
    <row r="1291" spans="1:5" x14ac:dyDescent="0.25">
      <c r="A1291" s="3" t="s">
        <v>5</v>
      </c>
      <c r="B1291" s="3" t="s">
        <v>586</v>
      </c>
      <c r="C1291" s="3" t="s">
        <v>16</v>
      </c>
      <c r="D1291" s="4">
        <f>HYPERLINK("https://cao.dolgi.msk.ru/account/1060061328/", 1060061328)</f>
        <v>1060061328</v>
      </c>
      <c r="E1291" s="3">
        <v>4472.5</v>
      </c>
    </row>
    <row r="1292" spans="1:5" x14ac:dyDescent="0.25">
      <c r="A1292" s="3" t="s">
        <v>5</v>
      </c>
      <c r="B1292" s="3" t="s">
        <v>586</v>
      </c>
      <c r="C1292" s="3" t="s">
        <v>21</v>
      </c>
      <c r="D1292" s="4">
        <f>HYPERLINK("https://cao.dolgi.msk.ru/account/1060061408/", 1060061408)</f>
        <v>1060061408</v>
      </c>
      <c r="E1292" s="3">
        <v>53796.639999999999</v>
      </c>
    </row>
    <row r="1293" spans="1:5" x14ac:dyDescent="0.25">
      <c r="A1293" s="3" t="s">
        <v>5</v>
      </c>
      <c r="B1293" s="3" t="s">
        <v>586</v>
      </c>
      <c r="C1293" s="3" t="s">
        <v>22</v>
      </c>
      <c r="D1293" s="4">
        <f>HYPERLINK("https://cao.dolgi.msk.ru/account/1060061416/", 1060061416)</f>
        <v>1060061416</v>
      </c>
      <c r="E1293" s="3">
        <v>28906.7</v>
      </c>
    </row>
    <row r="1294" spans="1:5" x14ac:dyDescent="0.25">
      <c r="A1294" s="3" t="s">
        <v>5</v>
      </c>
      <c r="B1294" s="3" t="s">
        <v>586</v>
      </c>
      <c r="C1294" s="3" t="s">
        <v>52</v>
      </c>
      <c r="D1294" s="4">
        <f>HYPERLINK("https://cao.dolgi.msk.ru/account/1060061758/", 1060061758)</f>
        <v>1060061758</v>
      </c>
      <c r="E1294" s="3">
        <v>21027.3</v>
      </c>
    </row>
    <row r="1295" spans="1:5" x14ac:dyDescent="0.25">
      <c r="A1295" s="3" t="s">
        <v>5</v>
      </c>
      <c r="B1295" s="3" t="s">
        <v>586</v>
      </c>
      <c r="C1295" s="3" t="s">
        <v>55</v>
      </c>
      <c r="D1295" s="4">
        <f>HYPERLINK("https://cao.dolgi.msk.ru/account/1060061782/", 1060061782)</f>
        <v>1060061782</v>
      </c>
      <c r="E1295" s="3">
        <v>20859.259999999998</v>
      </c>
    </row>
    <row r="1296" spans="1:5" x14ac:dyDescent="0.25">
      <c r="A1296" s="3" t="s">
        <v>5</v>
      </c>
      <c r="B1296" s="3" t="s">
        <v>586</v>
      </c>
      <c r="C1296" s="3" t="s">
        <v>58</v>
      </c>
      <c r="D1296" s="4">
        <f>HYPERLINK("https://cao.dolgi.msk.ru/account/1060061838/", 1060061838)</f>
        <v>1060061838</v>
      </c>
      <c r="E1296" s="3">
        <v>28236.240000000002</v>
      </c>
    </row>
    <row r="1297" spans="1:5" x14ac:dyDescent="0.25">
      <c r="A1297" s="3" t="s">
        <v>5</v>
      </c>
      <c r="B1297" s="3" t="s">
        <v>586</v>
      </c>
      <c r="C1297" s="3" t="s">
        <v>62</v>
      </c>
      <c r="D1297" s="4">
        <f>HYPERLINK("https://cao.dolgi.msk.ru/account/1060061889/", 1060061889)</f>
        <v>1060061889</v>
      </c>
      <c r="E1297" s="3">
        <v>10911.52</v>
      </c>
    </row>
    <row r="1298" spans="1:5" x14ac:dyDescent="0.25">
      <c r="A1298" s="3" t="s">
        <v>5</v>
      </c>
      <c r="B1298" s="3" t="s">
        <v>586</v>
      </c>
      <c r="C1298" s="3" t="s">
        <v>73</v>
      </c>
      <c r="D1298" s="4">
        <f>HYPERLINK("https://cao.dolgi.msk.ru/account/1060061969/", 1060061969)</f>
        <v>1060061969</v>
      </c>
      <c r="E1298" s="3">
        <v>29549.15</v>
      </c>
    </row>
    <row r="1299" spans="1:5" x14ac:dyDescent="0.25">
      <c r="A1299" s="3" t="s">
        <v>5</v>
      </c>
      <c r="B1299" s="3" t="s">
        <v>587</v>
      </c>
      <c r="C1299" s="3" t="s">
        <v>51</v>
      </c>
      <c r="D1299" s="4">
        <f>HYPERLINK("https://cao.dolgi.msk.ru/account/1060055446/", 1060055446)</f>
        <v>1060055446</v>
      </c>
      <c r="E1299" s="3">
        <v>102581.63</v>
      </c>
    </row>
    <row r="1300" spans="1:5" x14ac:dyDescent="0.25">
      <c r="A1300" s="3" t="s">
        <v>5</v>
      </c>
      <c r="B1300" s="3" t="s">
        <v>587</v>
      </c>
      <c r="C1300" s="3" t="s">
        <v>30</v>
      </c>
      <c r="D1300" s="4">
        <f>HYPERLINK("https://cao.dolgi.msk.ru/account/1060055462/", 1060055462)</f>
        <v>1060055462</v>
      </c>
      <c r="E1300" s="3">
        <v>5131.76</v>
      </c>
    </row>
    <row r="1301" spans="1:5" x14ac:dyDescent="0.25">
      <c r="A1301" s="3" t="s">
        <v>5</v>
      </c>
      <c r="B1301" s="3" t="s">
        <v>587</v>
      </c>
      <c r="C1301" s="3" t="s">
        <v>131</v>
      </c>
      <c r="D1301" s="4">
        <f>HYPERLINK("https://cao.dolgi.msk.ru/account/1060055497/", 1060055497)</f>
        <v>1060055497</v>
      </c>
      <c r="E1301" s="3">
        <v>8048.19</v>
      </c>
    </row>
    <row r="1302" spans="1:5" x14ac:dyDescent="0.25">
      <c r="A1302" s="3" t="s">
        <v>5</v>
      </c>
      <c r="B1302" s="3" t="s">
        <v>587</v>
      </c>
      <c r="C1302" s="3" t="s">
        <v>16</v>
      </c>
      <c r="D1302" s="4">
        <f>HYPERLINK("https://cao.dolgi.msk.ru/account/1060055788/", 1060055788)</f>
        <v>1060055788</v>
      </c>
      <c r="E1302" s="3">
        <v>12207.7</v>
      </c>
    </row>
    <row r="1303" spans="1:5" x14ac:dyDescent="0.25">
      <c r="A1303" s="3" t="s">
        <v>5</v>
      </c>
      <c r="B1303" s="3" t="s">
        <v>587</v>
      </c>
      <c r="C1303" s="3" t="s">
        <v>22</v>
      </c>
      <c r="D1303" s="4">
        <f>HYPERLINK("https://cao.dolgi.msk.ru/account/1060055841/", 1060055841)</f>
        <v>1060055841</v>
      </c>
      <c r="E1303" s="3">
        <v>4924.5200000000004</v>
      </c>
    </row>
    <row r="1304" spans="1:5" x14ac:dyDescent="0.25">
      <c r="A1304" s="3" t="s">
        <v>5</v>
      </c>
      <c r="B1304" s="3" t="s">
        <v>587</v>
      </c>
      <c r="C1304" s="3" t="s">
        <v>28</v>
      </c>
      <c r="D1304" s="4">
        <f>HYPERLINK("https://cao.dolgi.msk.ru/account/1060055913/", 1060055913)</f>
        <v>1060055913</v>
      </c>
      <c r="E1304" s="3">
        <v>4999.4799999999996</v>
      </c>
    </row>
    <row r="1305" spans="1:5" x14ac:dyDescent="0.25">
      <c r="A1305" s="3" t="s">
        <v>5</v>
      </c>
      <c r="B1305" s="3" t="s">
        <v>587</v>
      </c>
      <c r="C1305" s="3" t="s">
        <v>38</v>
      </c>
      <c r="D1305" s="4">
        <f>HYPERLINK("https://cao.dolgi.msk.ru/account/1060056035/", 1060056035)</f>
        <v>1060056035</v>
      </c>
      <c r="E1305" s="3">
        <v>27934.400000000001</v>
      </c>
    </row>
    <row r="1306" spans="1:5" x14ac:dyDescent="0.25">
      <c r="A1306" s="3" t="s">
        <v>5</v>
      </c>
      <c r="B1306" s="3" t="s">
        <v>587</v>
      </c>
      <c r="C1306" s="3" t="s">
        <v>53</v>
      </c>
      <c r="D1306" s="4">
        <f>HYPERLINK("https://cao.dolgi.msk.ru/account/1060056203/", 1060056203)</f>
        <v>1060056203</v>
      </c>
      <c r="E1306" s="3">
        <v>27048.13</v>
      </c>
    </row>
    <row r="1307" spans="1:5" x14ac:dyDescent="0.25">
      <c r="A1307" s="3" t="s">
        <v>5</v>
      </c>
      <c r="B1307" s="3" t="s">
        <v>587</v>
      </c>
      <c r="C1307" s="3" t="s">
        <v>61</v>
      </c>
      <c r="D1307" s="4">
        <f>HYPERLINK("https://cao.dolgi.msk.ru/account/1060056318/", 1060056318)</f>
        <v>1060056318</v>
      </c>
      <c r="E1307" s="3">
        <v>4689.8500000000004</v>
      </c>
    </row>
    <row r="1308" spans="1:5" x14ac:dyDescent="0.25">
      <c r="A1308" s="3" t="s">
        <v>5</v>
      </c>
      <c r="B1308" s="3" t="s">
        <v>587</v>
      </c>
      <c r="C1308" s="3" t="s">
        <v>77</v>
      </c>
      <c r="D1308" s="4">
        <f>HYPERLINK("https://cao.dolgi.msk.ru/account/1060056449/", 1060056449)</f>
        <v>1060056449</v>
      </c>
      <c r="E1308" s="3">
        <v>17722.38</v>
      </c>
    </row>
    <row r="1309" spans="1:5" x14ac:dyDescent="0.25">
      <c r="A1309" s="3" t="s">
        <v>5</v>
      </c>
      <c r="B1309" s="3" t="s">
        <v>587</v>
      </c>
      <c r="C1309" s="3" t="s">
        <v>91</v>
      </c>
      <c r="D1309" s="4">
        <f>HYPERLINK("https://cao.dolgi.msk.ru/account/1060056617/", 1060056617)</f>
        <v>1060056617</v>
      </c>
      <c r="E1309" s="3">
        <v>60077.34</v>
      </c>
    </row>
    <row r="1310" spans="1:5" x14ac:dyDescent="0.25">
      <c r="A1310" s="3" t="s">
        <v>5</v>
      </c>
      <c r="B1310" s="3" t="s">
        <v>587</v>
      </c>
      <c r="C1310" s="3" t="s">
        <v>109</v>
      </c>
      <c r="D1310" s="4">
        <f>HYPERLINK("https://cao.dolgi.msk.ru/account/1060056879/", 1060056879)</f>
        <v>1060056879</v>
      </c>
      <c r="E1310" s="3">
        <v>13012.95</v>
      </c>
    </row>
    <row r="1311" spans="1:5" x14ac:dyDescent="0.25">
      <c r="A1311" s="3" t="s">
        <v>5</v>
      </c>
      <c r="B1311" s="3" t="s">
        <v>587</v>
      </c>
      <c r="C1311" s="3" t="s">
        <v>113</v>
      </c>
      <c r="D1311" s="4">
        <f>HYPERLINK("https://cao.dolgi.msk.ru/account/1060056916/", 1060056916)</f>
        <v>1060056916</v>
      </c>
      <c r="E1311" s="3">
        <v>6777.49</v>
      </c>
    </row>
    <row r="1312" spans="1:5" x14ac:dyDescent="0.25">
      <c r="A1312" s="3" t="s">
        <v>5</v>
      </c>
      <c r="B1312" s="3" t="s">
        <v>587</v>
      </c>
      <c r="C1312" s="3" t="s">
        <v>157</v>
      </c>
      <c r="D1312" s="4">
        <f>HYPERLINK("https://cao.dolgi.msk.ru/account/1060057054/", 1060057054)</f>
        <v>1060057054</v>
      </c>
      <c r="E1312" s="3">
        <v>34233.660000000003</v>
      </c>
    </row>
    <row r="1313" spans="1:5" x14ac:dyDescent="0.25">
      <c r="A1313" s="3" t="s">
        <v>5</v>
      </c>
      <c r="B1313" s="3" t="s">
        <v>587</v>
      </c>
      <c r="C1313" s="3" t="s">
        <v>158</v>
      </c>
      <c r="D1313" s="4">
        <f>HYPERLINK("https://cao.dolgi.msk.ru/account/1060057062/", 1060057062)</f>
        <v>1060057062</v>
      </c>
      <c r="E1313" s="3">
        <v>26587.7</v>
      </c>
    </row>
    <row r="1314" spans="1:5" x14ac:dyDescent="0.25">
      <c r="A1314" s="3" t="s">
        <v>5</v>
      </c>
      <c r="B1314" s="3" t="s">
        <v>587</v>
      </c>
      <c r="C1314" s="3" t="s">
        <v>164</v>
      </c>
      <c r="D1314" s="4">
        <f>HYPERLINK("https://cao.dolgi.msk.ru/account/1060057142/", 1060057142)</f>
        <v>1060057142</v>
      </c>
      <c r="E1314" s="3">
        <v>10026.18</v>
      </c>
    </row>
    <row r="1315" spans="1:5" x14ac:dyDescent="0.25">
      <c r="A1315" s="3" t="s">
        <v>5</v>
      </c>
      <c r="B1315" s="3" t="s">
        <v>587</v>
      </c>
      <c r="C1315" s="3" t="s">
        <v>168</v>
      </c>
      <c r="D1315" s="4">
        <f>HYPERLINK("https://cao.dolgi.msk.ru/account/1060057193/", 1060057193)</f>
        <v>1060057193</v>
      </c>
      <c r="E1315" s="3">
        <v>29230.52</v>
      </c>
    </row>
    <row r="1316" spans="1:5" x14ac:dyDescent="0.25">
      <c r="A1316" s="3" t="s">
        <v>5</v>
      </c>
      <c r="B1316" s="3" t="s">
        <v>587</v>
      </c>
      <c r="C1316" s="3" t="s">
        <v>180</v>
      </c>
      <c r="D1316" s="4">
        <f>HYPERLINK("https://cao.dolgi.msk.ru/account/1060057345/", 1060057345)</f>
        <v>1060057345</v>
      </c>
      <c r="E1316" s="3">
        <v>102903.31</v>
      </c>
    </row>
    <row r="1317" spans="1:5" x14ac:dyDescent="0.25">
      <c r="A1317" s="3" t="s">
        <v>5</v>
      </c>
      <c r="B1317" s="3" t="s">
        <v>587</v>
      </c>
      <c r="C1317" s="3" t="s">
        <v>186</v>
      </c>
      <c r="D1317" s="4">
        <f>HYPERLINK("https://cao.dolgi.msk.ru/account/1060057417/", 1060057417)</f>
        <v>1060057417</v>
      </c>
      <c r="E1317" s="3">
        <v>7459.34</v>
      </c>
    </row>
    <row r="1318" spans="1:5" x14ac:dyDescent="0.25">
      <c r="A1318" s="3" t="s">
        <v>5</v>
      </c>
      <c r="B1318" s="3" t="s">
        <v>587</v>
      </c>
      <c r="C1318" s="3" t="s">
        <v>198</v>
      </c>
      <c r="D1318" s="4">
        <f>HYPERLINK("https://cao.dolgi.msk.ru/account/1060057556/", 1060057556)</f>
        <v>1060057556</v>
      </c>
      <c r="E1318" s="3">
        <v>4648.3500000000004</v>
      </c>
    </row>
    <row r="1319" spans="1:5" x14ac:dyDescent="0.25">
      <c r="A1319" s="3" t="s">
        <v>5</v>
      </c>
      <c r="B1319" s="3" t="s">
        <v>587</v>
      </c>
      <c r="C1319" s="3" t="s">
        <v>202</v>
      </c>
      <c r="D1319" s="4">
        <f>HYPERLINK("https://cao.dolgi.msk.ru/account/1060057601/", 1060057601)</f>
        <v>1060057601</v>
      </c>
      <c r="E1319" s="3">
        <v>28368.23</v>
      </c>
    </row>
    <row r="1320" spans="1:5" x14ac:dyDescent="0.25">
      <c r="A1320" s="3" t="s">
        <v>5</v>
      </c>
      <c r="B1320" s="3" t="s">
        <v>587</v>
      </c>
      <c r="C1320" s="3" t="s">
        <v>211</v>
      </c>
      <c r="D1320" s="4">
        <f>HYPERLINK("https://cao.dolgi.msk.ru/account/1060057679/", 1060057679)</f>
        <v>1060057679</v>
      </c>
      <c r="E1320" s="3">
        <v>4581.6400000000003</v>
      </c>
    </row>
    <row r="1321" spans="1:5" x14ac:dyDescent="0.25">
      <c r="A1321" s="3" t="s">
        <v>5</v>
      </c>
      <c r="B1321" s="3" t="s">
        <v>587</v>
      </c>
      <c r="C1321" s="3" t="s">
        <v>224</v>
      </c>
      <c r="D1321" s="4">
        <f>HYPERLINK("https://cao.dolgi.msk.ru/account/1060057812/", 1060057812)</f>
        <v>1060057812</v>
      </c>
      <c r="E1321" s="3">
        <v>6465.23</v>
      </c>
    </row>
    <row r="1322" spans="1:5" x14ac:dyDescent="0.25">
      <c r="A1322" s="3" t="s">
        <v>5</v>
      </c>
      <c r="B1322" s="3" t="s">
        <v>587</v>
      </c>
      <c r="C1322" s="3" t="s">
        <v>229</v>
      </c>
      <c r="D1322" s="4">
        <f>HYPERLINK("https://cao.dolgi.msk.ru/account/1060057871/", 1060057871)</f>
        <v>1060057871</v>
      </c>
      <c r="E1322" s="3">
        <v>12515.57</v>
      </c>
    </row>
    <row r="1323" spans="1:5" x14ac:dyDescent="0.25">
      <c r="A1323" s="3" t="s">
        <v>5</v>
      </c>
      <c r="B1323" s="3" t="s">
        <v>587</v>
      </c>
      <c r="C1323" s="3" t="s">
        <v>240</v>
      </c>
      <c r="D1323" s="4">
        <f>HYPERLINK("https://cao.dolgi.msk.ru/account/1060058022/", 1060058022)</f>
        <v>1060058022</v>
      </c>
      <c r="E1323" s="3">
        <v>3898.14</v>
      </c>
    </row>
    <row r="1324" spans="1:5" x14ac:dyDescent="0.25">
      <c r="A1324" s="3" t="s">
        <v>5</v>
      </c>
      <c r="B1324" s="3" t="s">
        <v>587</v>
      </c>
      <c r="C1324" s="3" t="s">
        <v>249</v>
      </c>
      <c r="D1324" s="4">
        <f>HYPERLINK("https://cao.dolgi.msk.ru/account/1060058145/", 1060058145)</f>
        <v>1060058145</v>
      </c>
      <c r="E1324" s="3">
        <v>4189.38</v>
      </c>
    </row>
    <row r="1325" spans="1:5" x14ac:dyDescent="0.25">
      <c r="A1325" s="3" t="s">
        <v>5</v>
      </c>
      <c r="B1325" s="3" t="s">
        <v>587</v>
      </c>
      <c r="C1325" s="3" t="s">
        <v>250</v>
      </c>
      <c r="D1325" s="4">
        <f>HYPERLINK("https://cao.dolgi.msk.ru/account/1060058153/", 1060058153)</f>
        <v>1060058153</v>
      </c>
      <c r="E1325" s="3">
        <v>15466.51</v>
      </c>
    </row>
    <row r="1326" spans="1:5" x14ac:dyDescent="0.25">
      <c r="A1326" s="3" t="s">
        <v>5</v>
      </c>
      <c r="B1326" s="3" t="s">
        <v>587</v>
      </c>
      <c r="C1326" s="3" t="s">
        <v>259</v>
      </c>
      <c r="D1326" s="4">
        <f>HYPERLINK("https://cao.dolgi.msk.ru/account/1060058268/", 1060058268)</f>
        <v>1060058268</v>
      </c>
      <c r="E1326" s="3">
        <v>25797.1</v>
      </c>
    </row>
    <row r="1327" spans="1:5" x14ac:dyDescent="0.25">
      <c r="A1327" s="3" t="s">
        <v>5</v>
      </c>
      <c r="B1327" s="3" t="s">
        <v>587</v>
      </c>
      <c r="C1327" s="3" t="s">
        <v>277</v>
      </c>
      <c r="D1327" s="4">
        <f>HYPERLINK("https://cao.dolgi.msk.ru/account/1060058532/", 1060058532)</f>
        <v>1060058532</v>
      </c>
      <c r="E1327" s="3">
        <v>8669.2099999999991</v>
      </c>
    </row>
    <row r="1328" spans="1:5" x14ac:dyDescent="0.25">
      <c r="A1328" s="3" t="s">
        <v>5</v>
      </c>
      <c r="B1328" s="3" t="s">
        <v>587</v>
      </c>
      <c r="C1328" s="3" t="s">
        <v>281</v>
      </c>
      <c r="D1328" s="4">
        <f>HYPERLINK("https://cao.dolgi.msk.ru/account/1060058604/", 1060058604)</f>
        <v>1060058604</v>
      </c>
      <c r="E1328" s="3">
        <v>306063.24</v>
      </c>
    </row>
    <row r="1329" spans="1:5" x14ac:dyDescent="0.25">
      <c r="A1329" s="3" t="s">
        <v>5</v>
      </c>
      <c r="B1329" s="3" t="s">
        <v>587</v>
      </c>
      <c r="C1329" s="3" t="s">
        <v>299</v>
      </c>
      <c r="D1329" s="4">
        <f>HYPERLINK("https://cao.dolgi.msk.ru/account/1060058858/", 1060058858)</f>
        <v>1060058858</v>
      </c>
      <c r="E1329" s="3">
        <v>8585.67</v>
      </c>
    </row>
    <row r="1330" spans="1:5" x14ac:dyDescent="0.25">
      <c r="A1330" s="3" t="s">
        <v>5</v>
      </c>
      <c r="B1330" s="3" t="s">
        <v>587</v>
      </c>
      <c r="C1330" s="3" t="s">
        <v>127</v>
      </c>
      <c r="D1330" s="4">
        <f>HYPERLINK("https://cao.dolgi.msk.ru/account/1060059033/", 1060059033)</f>
        <v>1060059033</v>
      </c>
      <c r="E1330" s="3">
        <v>24260.16</v>
      </c>
    </row>
    <row r="1331" spans="1:5" x14ac:dyDescent="0.25">
      <c r="A1331" s="3" t="s">
        <v>5</v>
      </c>
      <c r="B1331" s="3" t="s">
        <v>587</v>
      </c>
      <c r="C1331" s="3" t="s">
        <v>305</v>
      </c>
      <c r="D1331" s="4">
        <f>HYPERLINK("https://cao.dolgi.msk.ru/account/1060059105/", 1060059105)</f>
        <v>1060059105</v>
      </c>
      <c r="E1331" s="3">
        <v>15500.91</v>
      </c>
    </row>
    <row r="1332" spans="1:5" x14ac:dyDescent="0.25">
      <c r="A1332" s="3" t="s">
        <v>5</v>
      </c>
      <c r="B1332" s="3" t="s">
        <v>587</v>
      </c>
      <c r="C1332" s="3" t="s">
        <v>312</v>
      </c>
      <c r="D1332" s="4">
        <f>HYPERLINK("https://cao.dolgi.msk.ru/account/1060059228/", 1060059228)</f>
        <v>1060059228</v>
      </c>
      <c r="E1332" s="3">
        <v>5500.69</v>
      </c>
    </row>
    <row r="1333" spans="1:5" x14ac:dyDescent="0.25">
      <c r="A1333" s="3" t="s">
        <v>5</v>
      </c>
      <c r="B1333" s="3" t="s">
        <v>587</v>
      </c>
      <c r="C1333" s="3" t="s">
        <v>313</v>
      </c>
      <c r="D1333" s="4">
        <f>HYPERLINK("https://cao.dolgi.msk.ru/account/1060059236/", 1060059236)</f>
        <v>1060059236</v>
      </c>
      <c r="E1333" s="3">
        <v>6765.36</v>
      </c>
    </row>
    <row r="1334" spans="1:5" x14ac:dyDescent="0.25">
      <c r="A1334" s="3" t="s">
        <v>5</v>
      </c>
      <c r="B1334" s="3" t="s">
        <v>587</v>
      </c>
      <c r="C1334" s="3" t="s">
        <v>322</v>
      </c>
      <c r="D1334" s="4">
        <f>HYPERLINK("https://cao.dolgi.msk.ru/account/1060059383/", 1060059383)</f>
        <v>1060059383</v>
      </c>
      <c r="E1334" s="3">
        <v>3195.81</v>
      </c>
    </row>
    <row r="1335" spans="1:5" x14ac:dyDescent="0.25">
      <c r="A1335" s="3" t="s">
        <v>5</v>
      </c>
      <c r="B1335" s="3" t="s">
        <v>587</v>
      </c>
      <c r="C1335" s="3" t="s">
        <v>323</v>
      </c>
      <c r="D1335" s="4">
        <f>HYPERLINK("https://cao.dolgi.msk.ru/account/1060059391/", 1060059391)</f>
        <v>1060059391</v>
      </c>
      <c r="E1335" s="3">
        <v>17977.63</v>
      </c>
    </row>
    <row r="1336" spans="1:5" x14ac:dyDescent="0.25">
      <c r="A1336" s="3" t="s">
        <v>5</v>
      </c>
      <c r="B1336" s="3" t="s">
        <v>587</v>
      </c>
      <c r="C1336" s="3" t="s">
        <v>334</v>
      </c>
      <c r="D1336" s="4">
        <f>HYPERLINK("https://cao.dolgi.msk.ru/account/1060059586/", 1060059586)</f>
        <v>1060059586</v>
      </c>
      <c r="E1336" s="3">
        <v>24755.45</v>
      </c>
    </row>
    <row r="1337" spans="1:5" x14ac:dyDescent="0.25">
      <c r="A1337" s="3" t="s">
        <v>5</v>
      </c>
      <c r="B1337" s="3" t="s">
        <v>587</v>
      </c>
      <c r="C1337" s="3" t="s">
        <v>340</v>
      </c>
      <c r="D1337" s="4">
        <f>HYPERLINK("https://cao.dolgi.msk.ru/account/1060059666/", 1060059666)</f>
        <v>1060059666</v>
      </c>
      <c r="E1337" s="3">
        <v>50101.03</v>
      </c>
    </row>
    <row r="1338" spans="1:5" x14ac:dyDescent="0.25">
      <c r="A1338" s="3" t="s">
        <v>5</v>
      </c>
      <c r="B1338" s="3" t="s">
        <v>587</v>
      </c>
      <c r="C1338" s="3" t="s">
        <v>344</v>
      </c>
      <c r="D1338" s="4">
        <f>HYPERLINK("https://cao.dolgi.msk.ru/account/1060059738/", 1060059738)</f>
        <v>1060059738</v>
      </c>
      <c r="E1338" s="3">
        <v>2778.18</v>
      </c>
    </row>
    <row r="1339" spans="1:5" x14ac:dyDescent="0.25">
      <c r="A1339" s="3" t="s">
        <v>5</v>
      </c>
      <c r="B1339" s="3" t="s">
        <v>587</v>
      </c>
      <c r="C1339" s="3" t="s">
        <v>345</v>
      </c>
      <c r="D1339" s="4">
        <f>HYPERLINK("https://cao.dolgi.msk.ru/account/1060059746/", 1060059746)</f>
        <v>1060059746</v>
      </c>
      <c r="E1339" s="3">
        <v>13326.91</v>
      </c>
    </row>
    <row r="1340" spans="1:5" x14ac:dyDescent="0.25">
      <c r="A1340" s="3" t="s">
        <v>5</v>
      </c>
      <c r="B1340" s="3" t="s">
        <v>588</v>
      </c>
      <c r="C1340" s="3" t="s">
        <v>30</v>
      </c>
      <c r="D1340" s="4">
        <f>HYPERLINK("https://cao.dolgi.msk.ru/account/1060063761/", 1060063761)</f>
        <v>1060063761</v>
      </c>
      <c r="E1340" s="3">
        <v>9413.4</v>
      </c>
    </row>
    <row r="1341" spans="1:5" x14ac:dyDescent="0.25">
      <c r="A1341" s="3" t="s">
        <v>5</v>
      </c>
      <c r="B1341" s="3" t="s">
        <v>588</v>
      </c>
      <c r="C1341" s="3" t="s">
        <v>131</v>
      </c>
      <c r="D1341" s="4">
        <f>HYPERLINK("https://cao.dolgi.msk.ru/account/1060063796/", 1060063796)</f>
        <v>1060063796</v>
      </c>
      <c r="E1341" s="3">
        <v>4097.04</v>
      </c>
    </row>
    <row r="1342" spans="1:5" x14ac:dyDescent="0.25">
      <c r="A1342" s="3" t="s">
        <v>5</v>
      </c>
      <c r="B1342" s="3" t="s">
        <v>588</v>
      </c>
      <c r="C1342" s="3" t="s">
        <v>136</v>
      </c>
      <c r="D1342" s="4">
        <f>HYPERLINK("https://cao.dolgi.msk.ru/account/1060063884/", 1060063884)</f>
        <v>1060063884</v>
      </c>
      <c r="E1342" s="3">
        <v>283214.46000000002</v>
      </c>
    </row>
    <row r="1343" spans="1:5" x14ac:dyDescent="0.25">
      <c r="A1343" s="3" t="s">
        <v>5</v>
      </c>
      <c r="B1343" s="3" t="s">
        <v>588</v>
      </c>
      <c r="C1343" s="3" t="s">
        <v>137</v>
      </c>
      <c r="D1343" s="4">
        <f>HYPERLINK("https://cao.dolgi.msk.ru/account/1060063892/", 1060063892)</f>
        <v>1060063892</v>
      </c>
      <c r="E1343" s="3">
        <v>3616.59</v>
      </c>
    </row>
    <row r="1344" spans="1:5" x14ac:dyDescent="0.25">
      <c r="A1344" s="3" t="s">
        <v>5</v>
      </c>
      <c r="B1344" s="3" t="s">
        <v>588</v>
      </c>
      <c r="C1344" s="3" t="s">
        <v>138</v>
      </c>
      <c r="D1344" s="4">
        <f>HYPERLINK("https://cao.dolgi.msk.ru/account/1060063905/", 1060063905)</f>
        <v>1060063905</v>
      </c>
      <c r="E1344" s="3">
        <v>14394.97</v>
      </c>
    </row>
    <row r="1345" spans="1:5" x14ac:dyDescent="0.25">
      <c r="A1345" s="3" t="s">
        <v>5</v>
      </c>
      <c r="B1345" s="3" t="s">
        <v>588</v>
      </c>
      <c r="C1345" s="3" t="s">
        <v>13</v>
      </c>
      <c r="D1345" s="4">
        <f>HYPERLINK("https://cao.dolgi.msk.ru/account/1060064035/", 1060064035)</f>
        <v>1060064035</v>
      </c>
      <c r="E1345" s="3">
        <v>14441.36</v>
      </c>
    </row>
    <row r="1346" spans="1:5" x14ac:dyDescent="0.25">
      <c r="A1346" s="3" t="s">
        <v>5</v>
      </c>
      <c r="B1346" s="3" t="s">
        <v>588</v>
      </c>
      <c r="C1346" s="3" t="s">
        <v>16</v>
      </c>
      <c r="D1346" s="4">
        <f>HYPERLINK("https://cao.dolgi.msk.ru/account/1060064078/", 1060064078)</f>
        <v>1060064078</v>
      </c>
      <c r="E1346" s="3">
        <v>53748.39</v>
      </c>
    </row>
    <row r="1347" spans="1:5" x14ac:dyDescent="0.25">
      <c r="A1347" s="3" t="s">
        <v>5</v>
      </c>
      <c r="B1347" s="3" t="s">
        <v>588</v>
      </c>
      <c r="C1347" s="3" t="s">
        <v>20</v>
      </c>
      <c r="D1347" s="4">
        <f>HYPERLINK("https://cao.dolgi.msk.ru/account/1060064115/", 1060064115)</f>
        <v>1060064115</v>
      </c>
      <c r="E1347" s="3">
        <v>8222.17</v>
      </c>
    </row>
    <row r="1348" spans="1:5" x14ac:dyDescent="0.25">
      <c r="A1348" s="3" t="s">
        <v>5</v>
      </c>
      <c r="B1348" s="3" t="s">
        <v>588</v>
      </c>
      <c r="C1348" s="3" t="s">
        <v>25</v>
      </c>
      <c r="D1348" s="4">
        <f>HYPERLINK("https://cao.dolgi.msk.ru/account/1060064174/", 1060064174)</f>
        <v>1060064174</v>
      </c>
      <c r="E1348" s="3">
        <v>8786.6299999999992</v>
      </c>
    </row>
    <row r="1349" spans="1:5" x14ac:dyDescent="0.25">
      <c r="A1349" s="3" t="s">
        <v>5</v>
      </c>
      <c r="B1349" s="3" t="s">
        <v>588</v>
      </c>
      <c r="C1349" s="3" t="s">
        <v>79</v>
      </c>
      <c r="D1349" s="4">
        <f>HYPERLINK("https://cao.dolgi.msk.ru/account/1060064756/", 1060064756)</f>
        <v>1060064756</v>
      </c>
      <c r="E1349" s="3">
        <v>9440.44</v>
      </c>
    </row>
    <row r="1350" spans="1:5" x14ac:dyDescent="0.25">
      <c r="A1350" s="3" t="s">
        <v>5</v>
      </c>
      <c r="B1350" s="3" t="s">
        <v>588</v>
      </c>
      <c r="C1350" s="3" t="s">
        <v>96</v>
      </c>
      <c r="D1350" s="4">
        <f>HYPERLINK("https://cao.dolgi.msk.ru/account/1060064967/", 1060064967)</f>
        <v>1060064967</v>
      </c>
      <c r="E1350" s="3">
        <v>30778.13</v>
      </c>
    </row>
    <row r="1351" spans="1:5" x14ac:dyDescent="0.25">
      <c r="A1351" s="3" t="s">
        <v>5</v>
      </c>
      <c r="B1351" s="3" t="s">
        <v>589</v>
      </c>
      <c r="C1351" s="3" t="s">
        <v>135</v>
      </c>
      <c r="D1351" s="4">
        <f>HYPERLINK("https://cao.dolgi.msk.ru/account/1060060173/", 1060060173)</f>
        <v>1060060173</v>
      </c>
      <c r="E1351" s="3">
        <v>15310.25</v>
      </c>
    </row>
    <row r="1352" spans="1:5" x14ac:dyDescent="0.25">
      <c r="A1352" s="3" t="s">
        <v>5</v>
      </c>
      <c r="B1352" s="3" t="s">
        <v>589</v>
      </c>
      <c r="C1352" s="3" t="s">
        <v>20</v>
      </c>
      <c r="D1352" s="4">
        <f>HYPERLINK("https://cao.dolgi.msk.ru/account/1060060421/", 1060060421)</f>
        <v>1060060421</v>
      </c>
      <c r="E1352" s="3">
        <v>93310.71</v>
      </c>
    </row>
    <row r="1353" spans="1:5" x14ac:dyDescent="0.25">
      <c r="A1353" s="3" t="s">
        <v>5</v>
      </c>
      <c r="B1353" s="3" t="s">
        <v>589</v>
      </c>
      <c r="C1353" s="3" t="s">
        <v>21</v>
      </c>
      <c r="D1353" s="4">
        <f>HYPERLINK("https://cao.dolgi.msk.ru/account/1060060448/", 1060060448)</f>
        <v>1060060448</v>
      </c>
      <c r="E1353" s="3">
        <v>46533.45</v>
      </c>
    </row>
    <row r="1354" spans="1:5" x14ac:dyDescent="0.25">
      <c r="A1354" s="3" t="s">
        <v>5</v>
      </c>
      <c r="B1354" s="3" t="s">
        <v>589</v>
      </c>
      <c r="C1354" s="3" t="s">
        <v>22</v>
      </c>
      <c r="D1354" s="4">
        <f>HYPERLINK("https://cao.dolgi.msk.ru/account/1060060456/", 1060060456)</f>
        <v>1060060456</v>
      </c>
      <c r="E1354" s="3">
        <v>5072.8500000000004</v>
      </c>
    </row>
    <row r="1355" spans="1:5" x14ac:dyDescent="0.25">
      <c r="A1355" s="3" t="s">
        <v>5</v>
      </c>
      <c r="B1355" s="3" t="s">
        <v>589</v>
      </c>
      <c r="C1355" s="3" t="s">
        <v>38</v>
      </c>
      <c r="D1355" s="4">
        <f>HYPERLINK("https://cao.dolgi.msk.ru/account/1060060667/", 1060060667)</f>
        <v>1060060667</v>
      </c>
      <c r="E1355" s="3">
        <v>12251.13</v>
      </c>
    </row>
    <row r="1356" spans="1:5" x14ac:dyDescent="0.25">
      <c r="A1356" s="3" t="s">
        <v>5</v>
      </c>
      <c r="B1356" s="3" t="s">
        <v>589</v>
      </c>
      <c r="C1356" s="3" t="s">
        <v>43</v>
      </c>
      <c r="D1356" s="4">
        <f>HYPERLINK("https://cao.dolgi.msk.ru/account/1060060712/", 1060060712)</f>
        <v>1060060712</v>
      </c>
      <c r="E1356" s="3">
        <v>9577.19</v>
      </c>
    </row>
    <row r="1357" spans="1:5" x14ac:dyDescent="0.25">
      <c r="A1357" s="3" t="s">
        <v>5</v>
      </c>
      <c r="B1357" s="3" t="s">
        <v>589</v>
      </c>
      <c r="C1357" s="3" t="s">
        <v>52</v>
      </c>
      <c r="D1357" s="4">
        <f>HYPERLINK("https://cao.dolgi.msk.ru/account/1060060827/", 1060060827)</f>
        <v>1060060827</v>
      </c>
      <c r="E1357" s="3">
        <v>63695.53</v>
      </c>
    </row>
    <row r="1358" spans="1:5" x14ac:dyDescent="0.25">
      <c r="A1358" s="3" t="s">
        <v>5</v>
      </c>
      <c r="B1358" s="3" t="s">
        <v>589</v>
      </c>
      <c r="C1358" s="3" t="s">
        <v>590</v>
      </c>
      <c r="D1358" s="4">
        <f>HYPERLINK("https://cao.dolgi.msk.ru/account/1060060907/", 1060060907)</f>
        <v>1060060907</v>
      </c>
      <c r="E1358" s="3">
        <v>131279</v>
      </c>
    </row>
    <row r="1359" spans="1:5" x14ac:dyDescent="0.25">
      <c r="A1359" s="3" t="s">
        <v>5</v>
      </c>
      <c r="B1359" s="3" t="s">
        <v>589</v>
      </c>
      <c r="C1359" s="3" t="s">
        <v>57</v>
      </c>
      <c r="D1359" s="4">
        <f>HYPERLINK("https://cao.dolgi.msk.ru/account/1060904057/", 1060904057)</f>
        <v>1060904057</v>
      </c>
      <c r="E1359" s="3">
        <v>19020.84</v>
      </c>
    </row>
    <row r="1360" spans="1:5" x14ac:dyDescent="0.25">
      <c r="A1360" s="3" t="s">
        <v>5</v>
      </c>
      <c r="B1360" s="3" t="s">
        <v>591</v>
      </c>
      <c r="C1360" s="3" t="s">
        <v>105</v>
      </c>
      <c r="D1360" s="4">
        <f>HYPERLINK("https://cao.dolgi.msk.ru/account/1060874556/", 1060874556)</f>
        <v>1060874556</v>
      </c>
      <c r="E1360" s="3">
        <v>27413.75</v>
      </c>
    </row>
    <row r="1361" spans="1:5" x14ac:dyDescent="0.25">
      <c r="A1361" s="3" t="s">
        <v>5</v>
      </c>
      <c r="B1361" s="3" t="s">
        <v>591</v>
      </c>
      <c r="C1361" s="3" t="s">
        <v>141</v>
      </c>
      <c r="D1361" s="4">
        <f>HYPERLINK("https://cao.dolgi.msk.ru/account/1060874038/", 1060874038)</f>
        <v>1060874038</v>
      </c>
      <c r="E1361" s="3">
        <v>31591.919999999998</v>
      </c>
    </row>
    <row r="1362" spans="1:5" x14ac:dyDescent="0.25">
      <c r="A1362" s="3" t="s">
        <v>5</v>
      </c>
      <c r="B1362" s="3" t="s">
        <v>591</v>
      </c>
      <c r="C1362" s="3" t="s">
        <v>15</v>
      </c>
      <c r="D1362" s="4">
        <f>HYPERLINK("https://cao.dolgi.msk.ru/account/1060872008/", 1060872008)</f>
        <v>1060872008</v>
      </c>
      <c r="E1362" s="3">
        <v>31415.37</v>
      </c>
    </row>
    <row r="1363" spans="1:5" x14ac:dyDescent="0.25">
      <c r="A1363" s="3" t="s">
        <v>5</v>
      </c>
      <c r="B1363" s="3" t="s">
        <v>591</v>
      </c>
      <c r="C1363" s="3" t="s">
        <v>16</v>
      </c>
      <c r="D1363" s="4">
        <f>HYPERLINK("https://cao.dolgi.msk.ru/account/1060871515/", 1060871515)</f>
        <v>1060871515</v>
      </c>
      <c r="E1363" s="3">
        <v>36346.629999999997</v>
      </c>
    </row>
    <row r="1364" spans="1:5" x14ac:dyDescent="0.25">
      <c r="A1364" s="3" t="s">
        <v>5</v>
      </c>
      <c r="B1364" s="3" t="s">
        <v>591</v>
      </c>
      <c r="C1364" s="3" t="s">
        <v>17</v>
      </c>
      <c r="D1364" s="4">
        <f>HYPERLINK("https://cao.dolgi.msk.ru/account/1060872999/", 1060872999)</f>
        <v>1060872999</v>
      </c>
      <c r="E1364" s="3">
        <v>118525.71</v>
      </c>
    </row>
    <row r="1365" spans="1:5" x14ac:dyDescent="0.25">
      <c r="A1365" s="3" t="s">
        <v>5</v>
      </c>
      <c r="B1365" s="3" t="s">
        <v>591</v>
      </c>
      <c r="C1365" s="3" t="s">
        <v>36</v>
      </c>
      <c r="D1365" s="4">
        <f>HYPERLINK("https://cao.dolgi.msk.ru/account/1060873625/", 1060873625)</f>
        <v>1060873625</v>
      </c>
      <c r="E1365" s="3">
        <v>11428.55</v>
      </c>
    </row>
    <row r="1366" spans="1:5" x14ac:dyDescent="0.25">
      <c r="A1366" s="3" t="s">
        <v>5</v>
      </c>
      <c r="B1366" s="3" t="s">
        <v>591</v>
      </c>
      <c r="C1366" s="3" t="s">
        <v>56</v>
      </c>
      <c r="D1366" s="4">
        <f>HYPERLINK("https://cao.dolgi.msk.ru/account/1060873668/", 1060873668)</f>
        <v>1060873668</v>
      </c>
      <c r="E1366" s="3">
        <v>161644.95000000001</v>
      </c>
    </row>
    <row r="1367" spans="1:5" x14ac:dyDescent="0.25">
      <c r="A1367" s="3" t="s">
        <v>5</v>
      </c>
      <c r="B1367" s="3" t="s">
        <v>591</v>
      </c>
      <c r="C1367" s="3" t="s">
        <v>109</v>
      </c>
      <c r="D1367" s="4">
        <f>HYPERLINK("https://cao.dolgi.msk.ru/account/1060875356/", 1060875356)</f>
        <v>1060875356</v>
      </c>
      <c r="E1367" s="3">
        <v>6304.34</v>
      </c>
    </row>
    <row r="1368" spans="1:5" x14ac:dyDescent="0.25">
      <c r="A1368" s="3" t="s">
        <v>5</v>
      </c>
      <c r="B1368" s="3" t="s">
        <v>591</v>
      </c>
      <c r="C1368" s="3" t="s">
        <v>155</v>
      </c>
      <c r="D1368" s="4">
        <f>HYPERLINK("https://cao.dolgi.msk.ru/account/1060874791/", 1060874791)</f>
        <v>1060874791</v>
      </c>
      <c r="E1368" s="3">
        <v>17842.240000000002</v>
      </c>
    </row>
    <row r="1369" spans="1:5" x14ac:dyDescent="0.25">
      <c r="A1369" s="3" t="s">
        <v>5</v>
      </c>
      <c r="B1369" s="3" t="s">
        <v>591</v>
      </c>
      <c r="C1369" s="3" t="s">
        <v>162</v>
      </c>
      <c r="D1369" s="4">
        <f>HYPERLINK("https://cao.dolgi.msk.ru/account/1060874839/", 1060874839)</f>
        <v>1060874839</v>
      </c>
      <c r="E1369" s="3">
        <v>220860.35</v>
      </c>
    </row>
    <row r="1370" spans="1:5" x14ac:dyDescent="0.25">
      <c r="A1370" s="3" t="s">
        <v>5</v>
      </c>
      <c r="B1370" s="3" t="s">
        <v>591</v>
      </c>
      <c r="C1370" s="3" t="s">
        <v>168</v>
      </c>
      <c r="D1370" s="4">
        <f>HYPERLINK("https://cao.dolgi.msk.ru/account/1060872171/", 1060872171)</f>
        <v>1060872171</v>
      </c>
      <c r="E1370" s="3">
        <v>31805.5</v>
      </c>
    </row>
    <row r="1371" spans="1:5" x14ac:dyDescent="0.25">
      <c r="A1371" s="3" t="s">
        <v>5</v>
      </c>
      <c r="B1371" s="3" t="s">
        <v>591</v>
      </c>
      <c r="C1371" s="3" t="s">
        <v>170</v>
      </c>
      <c r="D1371" s="4">
        <f>HYPERLINK("https://cao.dolgi.msk.ru/account/1060874847/", 1060874847)</f>
        <v>1060874847</v>
      </c>
      <c r="E1371" s="3">
        <v>40103.089999999997</v>
      </c>
    </row>
    <row r="1372" spans="1:5" x14ac:dyDescent="0.25">
      <c r="A1372" s="3" t="s">
        <v>5</v>
      </c>
      <c r="B1372" s="3" t="s">
        <v>591</v>
      </c>
      <c r="C1372" s="3" t="s">
        <v>177</v>
      </c>
      <c r="D1372" s="4">
        <f>HYPERLINK("https://cao.dolgi.msk.ru/account/1060871611/", 1060871611)</f>
        <v>1060871611</v>
      </c>
      <c r="E1372" s="3">
        <v>25032.91</v>
      </c>
    </row>
    <row r="1373" spans="1:5" x14ac:dyDescent="0.25">
      <c r="A1373" s="3" t="s">
        <v>5</v>
      </c>
      <c r="B1373" s="3" t="s">
        <v>591</v>
      </c>
      <c r="C1373" s="3" t="s">
        <v>185</v>
      </c>
      <c r="D1373" s="4">
        <f>HYPERLINK("https://cao.dolgi.msk.ru/account/1060874302/", 1060874302)</f>
        <v>1060874302</v>
      </c>
      <c r="E1373" s="3">
        <v>8368.25</v>
      </c>
    </row>
    <row r="1374" spans="1:5" x14ac:dyDescent="0.25">
      <c r="A1374" s="3" t="s">
        <v>5</v>
      </c>
      <c r="B1374" s="3" t="s">
        <v>591</v>
      </c>
      <c r="C1374" s="3" t="s">
        <v>187</v>
      </c>
      <c r="D1374" s="4">
        <f>HYPERLINK("https://cao.dolgi.msk.ru/account/1060872702/", 1060872702)</f>
        <v>1060872702</v>
      </c>
      <c r="E1374" s="3">
        <v>13328.34</v>
      </c>
    </row>
    <row r="1375" spans="1:5" x14ac:dyDescent="0.25">
      <c r="A1375" s="3" t="s">
        <v>5</v>
      </c>
      <c r="B1375" s="3" t="s">
        <v>591</v>
      </c>
      <c r="C1375" s="3" t="s">
        <v>188</v>
      </c>
      <c r="D1375" s="4">
        <f>HYPERLINK("https://cao.dolgi.msk.ru/account/1060872729/", 1060872729)</f>
        <v>1060872729</v>
      </c>
      <c r="E1375" s="3">
        <v>4981.63</v>
      </c>
    </row>
    <row r="1376" spans="1:5" x14ac:dyDescent="0.25">
      <c r="A1376" s="3" t="s">
        <v>5</v>
      </c>
      <c r="B1376" s="3" t="s">
        <v>591</v>
      </c>
      <c r="C1376" s="3" t="s">
        <v>204</v>
      </c>
      <c r="D1376" s="4">
        <f>HYPERLINK("https://cao.dolgi.msk.ru/account/1060874919/", 1060874919)</f>
        <v>1060874919</v>
      </c>
      <c r="E1376" s="3">
        <v>14447.53</v>
      </c>
    </row>
    <row r="1377" spans="1:5" x14ac:dyDescent="0.25">
      <c r="A1377" s="3" t="s">
        <v>5</v>
      </c>
      <c r="B1377" s="3" t="s">
        <v>591</v>
      </c>
      <c r="C1377" s="3" t="s">
        <v>235</v>
      </c>
      <c r="D1377" s="4">
        <f>HYPERLINK("https://cao.dolgi.msk.ru/account/1060874353/", 1060874353)</f>
        <v>1060874353</v>
      </c>
      <c r="E1377" s="3">
        <v>23563.72</v>
      </c>
    </row>
    <row r="1378" spans="1:5" x14ac:dyDescent="0.25">
      <c r="A1378" s="3" t="s">
        <v>5</v>
      </c>
      <c r="B1378" s="3" t="s">
        <v>591</v>
      </c>
      <c r="C1378" s="3" t="s">
        <v>252</v>
      </c>
      <c r="D1378" s="4">
        <f>HYPERLINK("https://cao.dolgi.msk.ru/account/1060871777/", 1060871777)</f>
        <v>1060871777</v>
      </c>
      <c r="E1378" s="3">
        <v>8116.05</v>
      </c>
    </row>
    <row r="1379" spans="1:5" x14ac:dyDescent="0.25">
      <c r="A1379" s="3" t="s">
        <v>5</v>
      </c>
      <c r="B1379" s="3" t="s">
        <v>591</v>
      </c>
      <c r="C1379" s="3" t="s">
        <v>255</v>
      </c>
      <c r="D1379" s="4">
        <f>HYPERLINK("https://cao.dolgi.msk.ru/account/1060872294/", 1060872294)</f>
        <v>1060872294</v>
      </c>
      <c r="E1379" s="3">
        <v>20666.259999999998</v>
      </c>
    </row>
    <row r="1380" spans="1:5" x14ac:dyDescent="0.25">
      <c r="A1380" s="3" t="s">
        <v>5</v>
      </c>
      <c r="B1380" s="3" t="s">
        <v>591</v>
      </c>
      <c r="C1380" s="3" t="s">
        <v>271</v>
      </c>
      <c r="D1380" s="4">
        <f>HYPERLINK("https://cao.dolgi.msk.ru/account/1060872323/", 1060872323)</f>
        <v>1060872323</v>
      </c>
      <c r="E1380" s="3">
        <v>12691.62</v>
      </c>
    </row>
    <row r="1381" spans="1:5" x14ac:dyDescent="0.25">
      <c r="A1381" s="3" t="s">
        <v>5</v>
      </c>
      <c r="B1381" s="3" t="s">
        <v>591</v>
      </c>
      <c r="C1381" s="3" t="s">
        <v>284</v>
      </c>
      <c r="D1381" s="4">
        <f>HYPERLINK("https://cao.dolgi.msk.ru/account/1060875081/", 1060875081)</f>
        <v>1060875081</v>
      </c>
      <c r="E1381" s="3">
        <v>12632</v>
      </c>
    </row>
    <row r="1382" spans="1:5" x14ac:dyDescent="0.25">
      <c r="A1382" s="3" t="s">
        <v>5</v>
      </c>
      <c r="B1382" s="3" t="s">
        <v>591</v>
      </c>
      <c r="C1382" s="3" t="s">
        <v>70</v>
      </c>
      <c r="D1382" s="4">
        <f>HYPERLINK("https://cao.dolgi.msk.ru/account/1060871865/", 1060871865)</f>
        <v>1060871865</v>
      </c>
      <c r="E1382" s="3">
        <v>68627.210000000006</v>
      </c>
    </row>
    <row r="1383" spans="1:5" x14ac:dyDescent="0.25">
      <c r="A1383" s="3" t="s">
        <v>5</v>
      </c>
      <c r="B1383" s="3" t="s">
        <v>591</v>
      </c>
      <c r="C1383" s="3" t="s">
        <v>70</v>
      </c>
      <c r="D1383" s="4">
        <f>HYPERLINK("https://cao.dolgi.msk.ru/account/1060875655/", 1060875655)</f>
        <v>1060875655</v>
      </c>
      <c r="E1383" s="3">
        <v>49580</v>
      </c>
    </row>
    <row r="1384" spans="1:5" x14ac:dyDescent="0.25">
      <c r="A1384" s="3" t="s">
        <v>5</v>
      </c>
      <c r="B1384" s="3" t="s">
        <v>591</v>
      </c>
      <c r="C1384" s="3" t="s">
        <v>70</v>
      </c>
      <c r="D1384" s="4">
        <f>HYPERLINK("https://cao.dolgi.msk.ru/account/1060875663/", 1060875663)</f>
        <v>1060875663</v>
      </c>
      <c r="E1384" s="3">
        <v>22663.7</v>
      </c>
    </row>
    <row r="1385" spans="1:5" x14ac:dyDescent="0.25">
      <c r="A1385" s="3" t="s">
        <v>5</v>
      </c>
      <c r="B1385" s="3" t="s">
        <v>591</v>
      </c>
      <c r="C1385" s="3" t="s">
        <v>122</v>
      </c>
      <c r="D1385" s="4">
        <f>HYPERLINK("https://cao.dolgi.msk.ru/account/1060872446/", 1060872446)</f>
        <v>1060872446</v>
      </c>
      <c r="E1385" s="3">
        <v>52792.78</v>
      </c>
    </row>
    <row r="1386" spans="1:5" x14ac:dyDescent="0.25">
      <c r="A1386" s="3" t="s">
        <v>5</v>
      </c>
      <c r="B1386" s="3" t="s">
        <v>591</v>
      </c>
      <c r="C1386" s="3" t="s">
        <v>123</v>
      </c>
      <c r="D1386" s="4">
        <f>HYPERLINK("https://cao.dolgi.msk.ru/account/1060874484/", 1060874484)</f>
        <v>1060874484</v>
      </c>
      <c r="E1386" s="3">
        <v>29707.27</v>
      </c>
    </row>
    <row r="1387" spans="1:5" x14ac:dyDescent="0.25">
      <c r="A1387" s="3" t="s">
        <v>5</v>
      </c>
      <c r="B1387" s="3" t="s">
        <v>591</v>
      </c>
      <c r="C1387" s="3" t="s">
        <v>126</v>
      </c>
      <c r="D1387" s="4">
        <f>HYPERLINK("https://cao.dolgi.msk.ru/account/1060873932/", 1060873932)</f>
        <v>1060873932</v>
      </c>
      <c r="E1387" s="3">
        <v>21327.79</v>
      </c>
    </row>
    <row r="1388" spans="1:5" x14ac:dyDescent="0.25">
      <c r="A1388" s="3" t="s">
        <v>5</v>
      </c>
      <c r="B1388" s="3" t="s">
        <v>591</v>
      </c>
      <c r="C1388" s="3" t="s">
        <v>307</v>
      </c>
      <c r="D1388" s="4">
        <f>HYPERLINK("https://cao.dolgi.msk.ru/account/1060875161/", 1060875161)</f>
        <v>1060875161</v>
      </c>
      <c r="E1388" s="3">
        <v>8593.82</v>
      </c>
    </row>
    <row r="1389" spans="1:5" x14ac:dyDescent="0.25">
      <c r="A1389" s="3" t="s">
        <v>5</v>
      </c>
      <c r="B1389" s="3" t="s">
        <v>591</v>
      </c>
      <c r="C1389" s="3" t="s">
        <v>323</v>
      </c>
      <c r="D1389" s="4">
        <f>HYPERLINK("https://cao.dolgi.msk.ru/account/1060874505/", 1060874505)</f>
        <v>1060874505</v>
      </c>
      <c r="E1389" s="3">
        <v>10390.9</v>
      </c>
    </row>
    <row r="1390" spans="1:5" x14ac:dyDescent="0.25">
      <c r="A1390" s="3" t="s">
        <v>5</v>
      </c>
      <c r="B1390" s="3" t="s">
        <v>591</v>
      </c>
      <c r="C1390" s="3" t="s">
        <v>329</v>
      </c>
      <c r="D1390" s="4">
        <f>HYPERLINK("https://cao.dolgi.msk.ru/account/1060873502/", 1060873502)</f>
        <v>1060873502</v>
      </c>
      <c r="E1390" s="3">
        <v>22178.880000000001</v>
      </c>
    </row>
    <row r="1391" spans="1:5" x14ac:dyDescent="0.25">
      <c r="A1391" s="3" t="s">
        <v>5</v>
      </c>
      <c r="B1391" s="3" t="s">
        <v>591</v>
      </c>
      <c r="C1391" s="3" t="s">
        <v>332</v>
      </c>
      <c r="D1391" s="4">
        <f>HYPERLINK("https://cao.dolgi.msk.ru/account/1060872526/", 1060872526)</f>
        <v>1060872526</v>
      </c>
      <c r="E1391" s="3">
        <v>4578.68</v>
      </c>
    </row>
    <row r="1392" spans="1:5" x14ac:dyDescent="0.25">
      <c r="A1392" s="3" t="s">
        <v>5</v>
      </c>
      <c r="B1392" s="3" t="s">
        <v>591</v>
      </c>
      <c r="C1392" s="3" t="s">
        <v>333</v>
      </c>
      <c r="D1392" s="4">
        <f>HYPERLINK("https://cao.dolgi.msk.ru/account/1060875807/", 1060875807)</f>
        <v>1060875807</v>
      </c>
      <c r="E1392" s="3">
        <v>11682.48</v>
      </c>
    </row>
    <row r="1393" spans="1:5" x14ac:dyDescent="0.25">
      <c r="A1393" s="3" t="s">
        <v>5</v>
      </c>
      <c r="B1393" s="3" t="s">
        <v>591</v>
      </c>
      <c r="C1393" s="3" t="s">
        <v>337</v>
      </c>
      <c r="D1393" s="4">
        <f>HYPERLINK("https://cao.dolgi.msk.ru/account/1060873983/", 1060873983)</f>
        <v>1060873983</v>
      </c>
      <c r="E1393" s="3">
        <v>18302.78</v>
      </c>
    </row>
    <row r="1394" spans="1:5" x14ac:dyDescent="0.25">
      <c r="A1394" s="3" t="s">
        <v>5</v>
      </c>
      <c r="B1394" s="3" t="s">
        <v>592</v>
      </c>
      <c r="C1394" s="3" t="s">
        <v>141</v>
      </c>
      <c r="D1394" s="4">
        <f>HYPERLINK("https://cao.dolgi.msk.ru/account/1060036237/", 1060036237)</f>
        <v>1060036237</v>
      </c>
      <c r="E1394" s="3">
        <v>6770.69</v>
      </c>
    </row>
    <row r="1395" spans="1:5" x14ac:dyDescent="0.25">
      <c r="A1395" s="3" t="s">
        <v>5</v>
      </c>
      <c r="B1395" s="3" t="s">
        <v>592</v>
      </c>
      <c r="C1395" s="3" t="s">
        <v>12</v>
      </c>
      <c r="D1395" s="4">
        <f>HYPERLINK("https://cao.dolgi.msk.ru/account/1060036309/", 1060036309)</f>
        <v>1060036309</v>
      </c>
      <c r="E1395" s="3">
        <v>1782.28</v>
      </c>
    </row>
    <row r="1396" spans="1:5" x14ac:dyDescent="0.25">
      <c r="A1396" s="3" t="s">
        <v>5</v>
      </c>
      <c r="B1396" s="3" t="s">
        <v>592</v>
      </c>
      <c r="C1396" s="3" t="s">
        <v>29</v>
      </c>
      <c r="D1396" s="4">
        <f>HYPERLINK("https://cao.dolgi.msk.ru/account/1060036501/", 1060036501)</f>
        <v>1060036501</v>
      </c>
      <c r="E1396" s="3">
        <v>46368.99</v>
      </c>
    </row>
    <row r="1397" spans="1:5" x14ac:dyDescent="0.25">
      <c r="A1397" s="3" t="s">
        <v>5</v>
      </c>
      <c r="B1397" s="3" t="s">
        <v>592</v>
      </c>
      <c r="C1397" s="3" t="s">
        <v>56</v>
      </c>
      <c r="D1397" s="4">
        <f>HYPERLINK("https://cao.dolgi.msk.ru/account/1060036819/", 1060036819)</f>
        <v>1060036819</v>
      </c>
      <c r="E1397" s="3">
        <v>15573.65</v>
      </c>
    </row>
    <row r="1398" spans="1:5" x14ac:dyDescent="0.25">
      <c r="A1398" s="3" t="s">
        <v>5</v>
      </c>
      <c r="B1398" s="3" t="s">
        <v>592</v>
      </c>
      <c r="C1398" s="3" t="s">
        <v>60</v>
      </c>
      <c r="D1398" s="4">
        <f>HYPERLINK("https://cao.dolgi.msk.ru/account/1069117252/", 1069117252)</f>
        <v>1069117252</v>
      </c>
      <c r="E1398" s="3">
        <v>29561.23</v>
      </c>
    </row>
    <row r="1399" spans="1:5" x14ac:dyDescent="0.25">
      <c r="A1399" s="3" t="s">
        <v>5</v>
      </c>
      <c r="B1399" s="3" t="s">
        <v>593</v>
      </c>
      <c r="C1399" s="3" t="s">
        <v>131</v>
      </c>
      <c r="D1399" s="4">
        <f>HYPERLINK("https://cao.dolgi.msk.ru/account/1060036894/", 1060036894)</f>
        <v>1060036894</v>
      </c>
      <c r="E1399" s="3">
        <v>29566.54</v>
      </c>
    </row>
    <row r="1400" spans="1:5" x14ac:dyDescent="0.25">
      <c r="A1400" s="3" t="s">
        <v>5</v>
      </c>
      <c r="B1400" s="3" t="s">
        <v>593</v>
      </c>
      <c r="C1400" s="3" t="s">
        <v>11</v>
      </c>
      <c r="D1400" s="4">
        <f>HYPERLINK("https://cao.dolgi.msk.ru/account/1060037117/", 1060037117)</f>
        <v>1060037117</v>
      </c>
      <c r="E1400" s="3">
        <v>56237.1</v>
      </c>
    </row>
    <row r="1401" spans="1:5" x14ac:dyDescent="0.25">
      <c r="A1401" s="3" t="s">
        <v>5</v>
      </c>
      <c r="B1401" s="3" t="s">
        <v>593</v>
      </c>
      <c r="C1401" s="3" t="s">
        <v>23</v>
      </c>
      <c r="D1401" s="4">
        <f>HYPERLINK("https://cao.dolgi.msk.ru/account/1060037256/", 1060037256)</f>
        <v>1060037256</v>
      </c>
      <c r="E1401" s="3">
        <v>12184.98</v>
      </c>
    </row>
    <row r="1402" spans="1:5" x14ac:dyDescent="0.25">
      <c r="A1402" s="3" t="s">
        <v>5</v>
      </c>
      <c r="B1402" s="3" t="s">
        <v>593</v>
      </c>
      <c r="C1402" s="3" t="s">
        <v>29</v>
      </c>
      <c r="D1402" s="4">
        <f>HYPERLINK("https://cao.dolgi.msk.ru/account/1060037336/", 1060037336)</f>
        <v>1060037336</v>
      </c>
      <c r="E1402" s="3">
        <v>10305.57</v>
      </c>
    </row>
    <row r="1403" spans="1:5" x14ac:dyDescent="0.25">
      <c r="A1403" s="3" t="s">
        <v>5</v>
      </c>
      <c r="B1403" s="3" t="s">
        <v>593</v>
      </c>
      <c r="C1403" s="3" t="s">
        <v>33</v>
      </c>
      <c r="D1403" s="4">
        <f>HYPERLINK("https://cao.dolgi.msk.ru/account/1060037379/", 1060037379)</f>
        <v>1060037379</v>
      </c>
      <c r="E1403" s="3">
        <v>12748.08</v>
      </c>
    </row>
    <row r="1404" spans="1:5" x14ac:dyDescent="0.25">
      <c r="A1404" s="3" t="s">
        <v>5</v>
      </c>
      <c r="B1404" s="3" t="s">
        <v>593</v>
      </c>
      <c r="C1404" s="3" t="s">
        <v>42</v>
      </c>
      <c r="D1404" s="4">
        <f>HYPERLINK("https://cao.dolgi.msk.ru/account/1060037475/", 1060037475)</f>
        <v>1060037475</v>
      </c>
      <c r="E1404" s="3">
        <v>8578.9</v>
      </c>
    </row>
    <row r="1405" spans="1:5" x14ac:dyDescent="0.25">
      <c r="A1405" s="3" t="s">
        <v>5</v>
      </c>
      <c r="B1405" s="3" t="s">
        <v>593</v>
      </c>
      <c r="C1405" s="3" t="s">
        <v>45</v>
      </c>
      <c r="D1405" s="4">
        <f>HYPERLINK("https://cao.dolgi.msk.ru/account/1060037504/", 1060037504)</f>
        <v>1060037504</v>
      </c>
      <c r="E1405" s="3">
        <v>267298.31</v>
      </c>
    </row>
    <row r="1406" spans="1:5" x14ac:dyDescent="0.25">
      <c r="A1406" s="3" t="s">
        <v>5</v>
      </c>
      <c r="B1406" s="3" t="s">
        <v>594</v>
      </c>
      <c r="C1406" s="3" t="s">
        <v>8</v>
      </c>
      <c r="D1406" s="4">
        <f>HYPERLINK("https://cao.dolgi.msk.ru/account/1060044464/", 1060044464)</f>
        <v>1060044464</v>
      </c>
      <c r="E1406" s="3">
        <v>4280.2</v>
      </c>
    </row>
    <row r="1407" spans="1:5" x14ac:dyDescent="0.25">
      <c r="A1407" s="3" t="s">
        <v>5</v>
      </c>
      <c r="B1407" s="3" t="s">
        <v>594</v>
      </c>
      <c r="C1407" s="3" t="s">
        <v>142</v>
      </c>
      <c r="D1407" s="4">
        <f>HYPERLINK("https://cao.dolgi.msk.ru/account/1060044667/", 1060044667)</f>
        <v>1060044667</v>
      </c>
      <c r="E1407" s="3">
        <v>9194.2000000000007</v>
      </c>
    </row>
    <row r="1408" spans="1:5" x14ac:dyDescent="0.25">
      <c r="A1408" s="3" t="s">
        <v>5</v>
      </c>
      <c r="B1408" s="3" t="s">
        <v>594</v>
      </c>
      <c r="C1408" s="3" t="s">
        <v>16</v>
      </c>
      <c r="D1408" s="4">
        <f>HYPERLINK("https://cao.dolgi.msk.ru/account/1060044763/", 1060044763)</f>
        <v>1060044763</v>
      </c>
      <c r="E1408" s="3">
        <v>7174.57</v>
      </c>
    </row>
    <row r="1409" spans="1:5" x14ac:dyDescent="0.25">
      <c r="A1409" s="3" t="s">
        <v>5</v>
      </c>
      <c r="B1409" s="3" t="s">
        <v>594</v>
      </c>
      <c r="C1409" s="3" t="s">
        <v>18</v>
      </c>
      <c r="D1409" s="4">
        <f>HYPERLINK("https://cao.dolgi.msk.ru/account/1060044798/", 1060044798)</f>
        <v>1060044798</v>
      </c>
      <c r="E1409" s="3">
        <v>12473.94</v>
      </c>
    </row>
    <row r="1410" spans="1:5" x14ac:dyDescent="0.25">
      <c r="A1410" s="3" t="s">
        <v>5</v>
      </c>
      <c r="B1410" s="3" t="s">
        <v>594</v>
      </c>
      <c r="C1410" s="3" t="s">
        <v>27</v>
      </c>
      <c r="D1410" s="4">
        <f>HYPERLINK("https://cao.dolgi.msk.ru/account/1060044907/", 1060044907)</f>
        <v>1060044907</v>
      </c>
      <c r="E1410" s="3">
        <v>37583.879999999997</v>
      </c>
    </row>
    <row r="1411" spans="1:5" x14ac:dyDescent="0.25">
      <c r="A1411" s="3" t="s">
        <v>5</v>
      </c>
      <c r="B1411" s="3" t="s">
        <v>594</v>
      </c>
      <c r="C1411" s="3" t="s">
        <v>92</v>
      </c>
      <c r="D1411" s="4">
        <f>HYPERLINK("https://cao.dolgi.msk.ru/account/1060045619/", 1060045619)</f>
        <v>1060045619</v>
      </c>
      <c r="E1411" s="3">
        <v>24630.07</v>
      </c>
    </row>
    <row r="1412" spans="1:5" x14ac:dyDescent="0.25">
      <c r="A1412" s="3" t="s">
        <v>5</v>
      </c>
      <c r="B1412" s="3" t="s">
        <v>594</v>
      </c>
      <c r="C1412" s="3" t="s">
        <v>97</v>
      </c>
      <c r="D1412" s="4">
        <f>HYPERLINK("https://cao.dolgi.msk.ru/account/1060045678/", 1060045678)</f>
        <v>1060045678</v>
      </c>
      <c r="E1412" s="3">
        <v>7972.51</v>
      </c>
    </row>
    <row r="1413" spans="1:5" x14ac:dyDescent="0.25">
      <c r="A1413" s="3" t="s">
        <v>5</v>
      </c>
      <c r="B1413" s="3" t="s">
        <v>594</v>
      </c>
      <c r="C1413" s="3" t="s">
        <v>145</v>
      </c>
      <c r="D1413" s="4">
        <f>HYPERLINK("https://cao.dolgi.msk.ru/account/1060045758/", 1060045758)</f>
        <v>1060045758</v>
      </c>
      <c r="E1413" s="3">
        <v>52590.74</v>
      </c>
    </row>
    <row r="1414" spans="1:5" x14ac:dyDescent="0.25">
      <c r="A1414" s="3" t="s">
        <v>5</v>
      </c>
      <c r="B1414" s="3" t="s">
        <v>594</v>
      </c>
      <c r="C1414" s="3" t="s">
        <v>109</v>
      </c>
      <c r="D1414" s="4">
        <f>HYPERLINK("https://cao.dolgi.msk.ru/account/1060045854/", 1060045854)</f>
        <v>1060045854</v>
      </c>
      <c r="E1414" s="3">
        <v>8495.14</v>
      </c>
    </row>
    <row r="1415" spans="1:5" x14ac:dyDescent="0.25">
      <c r="A1415" s="3" t="s">
        <v>5</v>
      </c>
      <c r="B1415" s="3" t="s">
        <v>594</v>
      </c>
      <c r="C1415" s="3" t="s">
        <v>115</v>
      </c>
      <c r="D1415" s="4">
        <f>HYPERLINK("https://cao.dolgi.msk.ru/account/1060045934/", 1060045934)</f>
        <v>1060045934</v>
      </c>
      <c r="E1415" s="3">
        <v>5719.29</v>
      </c>
    </row>
    <row r="1416" spans="1:5" x14ac:dyDescent="0.25">
      <c r="A1416" s="3" t="s">
        <v>5</v>
      </c>
      <c r="B1416" s="3" t="s">
        <v>594</v>
      </c>
      <c r="C1416" s="3" t="s">
        <v>152</v>
      </c>
      <c r="D1416" s="4">
        <f>HYPERLINK("https://cao.dolgi.msk.ru/account/1060046005/", 1060046005)</f>
        <v>1060046005</v>
      </c>
      <c r="E1416" s="3">
        <v>16823.28</v>
      </c>
    </row>
    <row r="1417" spans="1:5" x14ac:dyDescent="0.25">
      <c r="A1417" s="3" t="s">
        <v>5</v>
      </c>
      <c r="B1417" s="3" t="s">
        <v>594</v>
      </c>
      <c r="C1417" s="3" t="s">
        <v>152</v>
      </c>
      <c r="D1417" s="4">
        <f>HYPERLINK("https://cao.dolgi.msk.ru/account/1060046021/", 1060046021)</f>
        <v>1060046021</v>
      </c>
      <c r="E1417" s="3">
        <v>234767.5</v>
      </c>
    </row>
    <row r="1418" spans="1:5" x14ac:dyDescent="0.25">
      <c r="A1418" s="3" t="s">
        <v>5</v>
      </c>
      <c r="B1418" s="3" t="s">
        <v>594</v>
      </c>
      <c r="C1418" s="3" t="s">
        <v>152</v>
      </c>
      <c r="D1418" s="4">
        <f>HYPERLINK("https://cao.dolgi.msk.ru/account/1060046048/", 1060046048)</f>
        <v>1060046048</v>
      </c>
      <c r="E1418" s="3">
        <v>63550.91</v>
      </c>
    </row>
    <row r="1419" spans="1:5" x14ac:dyDescent="0.25">
      <c r="A1419" s="3" t="s">
        <v>5</v>
      </c>
      <c r="B1419" s="3" t="s">
        <v>594</v>
      </c>
      <c r="C1419" s="3" t="s">
        <v>156</v>
      </c>
      <c r="D1419" s="4">
        <f>HYPERLINK("https://cao.dolgi.msk.ru/account/1060046099/", 1060046099)</f>
        <v>1060046099</v>
      </c>
      <c r="E1419" s="3">
        <v>8535.01</v>
      </c>
    </row>
    <row r="1420" spans="1:5" x14ac:dyDescent="0.25">
      <c r="A1420" s="3" t="s">
        <v>5</v>
      </c>
      <c r="B1420" s="3" t="s">
        <v>594</v>
      </c>
      <c r="C1420" s="3" t="s">
        <v>158</v>
      </c>
      <c r="D1420" s="4">
        <f>HYPERLINK("https://cao.dolgi.msk.ru/account/1060046128/", 1060046128)</f>
        <v>1060046128</v>
      </c>
      <c r="E1420" s="3">
        <v>7505.39</v>
      </c>
    </row>
    <row r="1421" spans="1:5" x14ac:dyDescent="0.25">
      <c r="A1421" s="3" t="s">
        <v>5</v>
      </c>
      <c r="B1421" s="3" t="s">
        <v>594</v>
      </c>
      <c r="C1421" s="3" t="s">
        <v>172</v>
      </c>
      <c r="D1421" s="4">
        <f>HYPERLINK("https://cao.dolgi.msk.ru/account/1060046283/", 1060046283)</f>
        <v>1060046283</v>
      </c>
      <c r="E1421" s="3">
        <v>333577.65000000002</v>
      </c>
    </row>
    <row r="1422" spans="1:5" x14ac:dyDescent="0.25">
      <c r="A1422" s="3" t="s">
        <v>5</v>
      </c>
      <c r="B1422" s="3" t="s">
        <v>594</v>
      </c>
      <c r="C1422" s="3" t="s">
        <v>173</v>
      </c>
      <c r="D1422" s="4">
        <f>HYPERLINK("https://cao.dolgi.msk.ru/account/1060046291/", 1060046291)</f>
        <v>1060046291</v>
      </c>
      <c r="E1422" s="3">
        <v>9652.31</v>
      </c>
    </row>
    <row r="1423" spans="1:5" x14ac:dyDescent="0.25">
      <c r="A1423" s="3" t="s">
        <v>5</v>
      </c>
      <c r="B1423" s="3" t="s">
        <v>595</v>
      </c>
      <c r="C1423" s="3" t="s">
        <v>51</v>
      </c>
      <c r="D1423" s="4">
        <f>HYPERLINK("https://cao.dolgi.msk.ru/account/1060037678/", 1060037678)</f>
        <v>1060037678</v>
      </c>
      <c r="E1423" s="3">
        <v>65679.839999999997</v>
      </c>
    </row>
    <row r="1424" spans="1:5" x14ac:dyDescent="0.25">
      <c r="A1424" s="3" t="s">
        <v>5</v>
      </c>
      <c r="B1424" s="3" t="s">
        <v>595</v>
      </c>
      <c r="C1424" s="3" t="s">
        <v>51</v>
      </c>
      <c r="D1424" s="4">
        <f>HYPERLINK("https://cao.dolgi.msk.ru/account/1060037686/", 1060037686)</f>
        <v>1060037686</v>
      </c>
      <c r="E1424" s="3">
        <v>8295.94</v>
      </c>
    </row>
    <row r="1425" spans="1:5" x14ac:dyDescent="0.25">
      <c r="A1425" s="3" t="s">
        <v>5</v>
      </c>
      <c r="B1425" s="3" t="s">
        <v>595</v>
      </c>
      <c r="C1425" s="3" t="s">
        <v>9</v>
      </c>
      <c r="D1425" s="4">
        <f>HYPERLINK("https://cao.dolgi.msk.ru/account/1060037731/", 1060037731)</f>
        <v>1060037731</v>
      </c>
      <c r="E1425" s="3">
        <v>9143.7199999999993</v>
      </c>
    </row>
    <row r="1426" spans="1:5" x14ac:dyDescent="0.25">
      <c r="A1426" s="3" t="s">
        <v>5</v>
      </c>
      <c r="B1426" s="3" t="s">
        <v>595</v>
      </c>
      <c r="C1426" s="3" t="s">
        <v>27</v>
      </c>
      <c r="D1426" s="4">
        <f>HYPERLINK("https://cao.dolgi.msk.ru/account/1060038152/", 1060038152)</f>
        <v>1060038152</v>
      </c>
      <c r="E1426" s="3">
        <v>400255.96</v>
      </c>
    </row>
    <row r="1427" spans="1:5" x14ac:dyDescent="0.25">
      <c r="A1427" s="3" t="s">
        <v>5</v>
      </c>
      <c r="B1427" s="3" t="s">
        <v>595</v>
      </c>
      <c r="C1427" s="3" t="s">
        <v>31</v>
      </c>
      <c r="D1427" s="4">
        <f>HYPERLINK("https://cao.dolgi.msk.ru/account/1060038195/", 1060038195)</f>
        <v>1060038195</v>
      </c>
      <c r="E1427" s="3">
        <v>110310.82</v>
      </c>
    </row>
    <row r="1428" spans="1:5" x14ac:dyDescent="0.25">
      <c r="A1428" s="3" t="s">
        <v>5</v>
      </c>
      <c r="B1428" s="3" t="s">
        <v>595</v>
      </c>
      <c r="C1428" s="3" t="s">
        <v>54</v>
      </c>
      <c r="D1428" s="4">
        <f>HYPERLINK("https://cao.dolgi.msk.ru/account/1060038478/", 1060038478)</f>
        <v>1060038478</v>
      </c>
      <c r="E1428" s="3">
        <v>11102.87</v>
      </c>
    </row>
    <row r="1429" spans="1:5" x14ac:dyDescent="0.25">
      <c r="A1429" s="3" t="s">
        <v>5</v>
      </c>
      <c r="B1429" s="3" t="s">
        <v>595</v>
      </c>
      <c r="C1429" s="3" t="s">
        <v>59</v>
      </c>
      <c r="D1429" s="4">
        <f>HYPERLINK("https://cao.dolgi.msk.ru/account/1060779014/", 1060779014)</f>
        <v>1060779014</v>
      </c>
      <c r="E1429" s="3">
        <v>20285.46</v>
      </c>
    </row>
    <row r="1430" spans="1:5" x14ac:dyDescent="0.25">
      <c r="A1430" s="3" t="s">
        <v>5</v>
      </c>
      <c r="B1430" s="3" t="s">
        <v>595</v>
      </c>
      <c r="C1430" s="3" t="s">
        <v>64</v>
      </c>
      <c r="D1430" s="4">
        <f>HYPERLINK("https://cao.dolgi.msk.ru/account/1060038574/", 1060038574)</f>
        <v>1060038574</v>
      </c>
      <c r="E1430" s="3">
        <v>20406.61</v>
      </c>
    </row>
    <row r="1431" spans="1:5" x14ac:dyDescent="0.25">
      <c r="A1431" s="3" t="s">
        <v>5</v>
      </c>
      <c r="B1431" s="3" t="s">
        <v>595</v>
      </c>
      <c r="C1431" s="3" t="s">
        <v>66</v>
      </c>
      <c r="D1431" s="4">
        <f>HYPERLINK("https://cao.dolgi.msk.ru/account/1060038603/", 1060038603)</f>
        <v>1060038603</v>
      </c>
      <c r="E1431" s="3">
        <v>23599.98</v>
      </c>
    </row>
    <row r="1432" spans="1:5" x14ac:dyDescent="0.25">
      <c r="A1432" s="3" t="s">
        <v>5</v>
      </c>
      <c r="B1432" s="3" t="s">
        <v>595</v>
      </c>
      <c r="C1432" s="3" t="s">
        <v>94</v>
      </c>
      <c r="D1432" s="4">
        <f>HYPERLINK("https://cao.dolgi.msk.ru/account/1060038988/", 1060038988)</f>
        <v>1060038988</v>
      </c>
      <c r="E1432" s="3">
        <v>19751.28</v>
      </c>
    </row>
    <row r="1433" spans="1:5" x14ac:dyDescent="0.25">
      <c r="A1433" s="3" t="s">
        <v>5</v>
      </c>
      <c r="B1433" s="3" t="s">
        <v>595</v>
      </c>
      <c r="C1433" s="3" t="s">
        <v>102</v>
      </c>
      <c r="D1433" s="4">
        <f>HYPERLINK("https://cao.dolgi.msk.ru/account/1060039075/", 1060039075)</f>
        <v>1060039075</v>
      </c>
      <c r="E1433" s="3">
        <v>18143.75</v>
      </c>
    </row>
    <row r="1434" spans="1:5" x14ac:dyDescent="0.25">
      <c r="A1434" s="3" t="s">
        <v>5</v>
      </c>
      <c r="B1434" s="3" t="s">
        <v>595</v>
      </c>
      <c r="C1434" s="3" t="s">
        <v>146</v>
      </c>
      <c r="D1434" s="4">
        <f>HYPERLINK("https://cao.dolgi.msk.ru/account/1060039091/", 1060039091)</f>
        <v>1060039091</v>
      </c>
      <c r="E1434" s="3">
        <v>35671.11</v>
      </c>
    </row>
    <row r="1435" spans="1:5" x14ac:dyDescent="0.25">
      <c r="A1435" s="3" t="s">
        <v>5</v>
      </c>
      <c r="B1435" s="3" t="s">
        <v>595</v>
      </c>
      <c r="C1435" s="3" t="s">
        <v>112</v>
      </c>
      <c r="D1435" s="4">
        <f>HYPERLINK("https://cao.dolgi.msk.ru/account/1060039243/", 1060039243)</f>
        <v>1060039243</v>
      </c>
      <c r="E1435" s="3">
        <v>10461.85</v>
      </c>
    </row>
    <row r="1436" spans="1:5" x14ac:dyDescent="0.25">
      <c r="A1436" s="3" t="s">
        <v>5</v>
      </c>
      <c r="B1436" s="3" t="s">
        <v>595</v>
      </c>
      <c r="C1436" s="3" t="s">
        <v>116</v>
      </c>
      <c r="D1436" s="4">
        <f>HYPERLINK("https://cao.dolgi.msk.ru/account/1060039294/", 1060039294)</f>
        <v>1060039294</v>
      </c>
      <c r="E1436" s="3">
        <v>28257.75</v>
      </c>
    </row>
    <row r="1437" spans="1:5" x14ac:dyDescent="0.25">
      <c r="A1437" s="3" t="s">
        <v>5</v>
      </c>
      <c r="B1437" s="3" t="s">
        <v>595</v>
      </c>
      <c r="C1437" s="3" t="s">
        <v>157</v>
      </c>
      <c r="D1437" s="4">
        <f>HYPERLINK("https://cao.dolgi.msk.ru/account/1060039411/", 1060039411)</f>
        <v>1060039411</v>
      </c>
      <c r="E1437" s="3">
        <v>32084.85</v>
      </c>
    </row>
    <row r="1438" spans="1:5" x14ac:dyDescent="0.25">
      <c r="A1438" s="3" t="s">
        <v>5</v>
      </c>
      <c r="B1438" s="3" t="s">
        <v>595</v>
      </c>
      <c r="C1438" s="3" t="s">
        <v>162</v>
      </c>
      <c r="D1438" s="4">
        <f>HYPERLINK("https://cao.dolgi.msk.ru/account/1060039489/", 1060039489)</f>
        <v>1060039489</v>
      </c>
      <c r="E1438" s="3">
        <v>8494.7800000000007</v>
      </c>
    </row>
    <row r="1439" spans="1:5" x14ac:dyDescent="0.25">
      <c r="A1439" s="3" t="s">
        <v>5</v>
      </c>
      <c r="B1439" s="3" t="s">
        <v>595</v>
      </c>
      <c r="C1439" s="3" t="s">
        <v>178</v>
      </c>
      <c r="D1439" s="4">
        <f>HYPERLINK("https://cao.dolgi.msk.ru/account/1060039737/", 1060039737)</f>
        <v>1060039737</v>
      </c>
      <c r="E1439" s="3">
        <v>20914.54</v>
      </c>
    </row>
    <row r="1440" spans="1:5" x14ac:dyDescent="0.25">
      <c r="A1440" s="3" t="s">
        <v>5</v>
      </c>
      <c r="B1440" s="3" t="s">
        <v>595</v>
      </c>
      <c r="C1440" s="3" t="s">
        <v>223</v>
      </c>
      <c r="D1440" s="4">
        <f>HYPERLINK("https://cao.dolgi.msk.ru/account/1060040228/", 1060040228)</f>
        <v>1060040228</v>
      </c>
      <c r="E1440" s="3">
        <v>7700.9</v>
      </c>
    </row>
    <row r="1441" spans="1:5" x14ac:dyDescent="0.25">
      <c r="A1441" s="3" t="s">
        <v>5</v>
      </c>
      <c r="B1441" s="3" t="s">
        <v>595</v>
      </c>
      <c r="C1441" s="3" t="s">
        <v>224</v>
      </c>
      <c r="D1441" s="4">
        <f>HYPERLINK("https://cao.dolgi.msk.ru/account/1060040236/", 1060040236)</f>
        <v>1060040236</v>
      </c>
      <c r="E1441" s="3">
        <v>9942.6200000000008</v>
      </c>
    </row>
    <row r="1442" spans="1:5" x14ac:dyDescent="0.25">
      <c r="A1442" s="3" t="s">
        <v>5</v>
      </c>
      <c r="B1442" s="3" t="s">
        <v>595</v>
      </c>
      <c r="C1442" s="3" t="s">
        <v>225</v>
      </c>
      <c r="D1442" s="4">
        <f>HYPERLINK("https://cao.dolgi.msk.ru/account/1060040244/", 1060040244)</f>
        <v>1060040244</v>
      </c>
      <c r="E1442" s="3">
        <v>96781.51</v>
      </c>
    </row>
    <row r="1443" spans="1:5" x14ac:dyDescent="0.25">
      <c r="A1443" s="3" t="s">
        <v>5</v>
      </c>
      <c r="B1443" s="3" t="s">
        <v>595</v>
      </c>
      <c r="C1443" s="3" t="s">
        <v>226</v>
      </c>
      <c r="D1443" s="4">
        <f>HYPERLINK("https://cao.dolgi.msk.ru/account/1060040252/", 1060040252)</f>
        <v>1060040252</v>
      </c>
      <c r="E1443" s="3">
        <v>11139.28</v>
      </c>
    </row>
    <row r="1444" spans="1:5" x14ac:dyDescent="0.25">
      <c r="A1444" s="3" t="s">
        <v>5</v>
      </c>
      <c r="B1444" s="3" t="s">
        <v>595</v>
      </c>
      <c r="C1444" s="3" t="s">
        <v>236</v>
      </c>
      <c r="D1444" s="4">
        <f>HYPERLINK("https://cao.dolgi.msk.ru/account/1060040383/", 1060040383)</f>
        <v>1060040383</v>
      </c>
      <c r="E1444" s="3">
        <v>17634.55</v>
      </c>
    </row>
    <row r="1445" spans="1:5" x14ac:dyDescent="0.25">
      <c r="A1445" s="3" t="s">
        <v>5</v>
      </c>
      <c r="B1445" s="3" t="s">
        <v>595</v>
      </c>
      <c r="C1445" s="3" t="s">
        <v>239</v>
      </c>
      <c r="D1445" s="4">
        <f>HYPERLINK("https://cao.dolgi.msk.ru/account/1060040439/", 1060040439)</f>
        <v>1060040439</v>
      </c>
      <c r="E1445" s="3">
        <v>25579.22</v>
      </c>
    </row>
    <row r="1446" spans="1:5" x14ac:dyDescent="0.25">
      <c r="A1446" s="3" t="s">
        <v>5</v>
      </c>
      <c r="B1446" s="3" t="s">
        <v>595</v>
      </c>
      <c r="C1446" s="3" t="s">
        <v>246</v>
      </c>
      <c r="D1446" s="4">
        <f>HYPERLINK("https://cao.dolgi.msk.ru/account/1060040535/", 1060040535)</f>
        <v>1060040535</v>
      </c>
      <c r="E1446" s="3">
        <v>22221.68</v>
      </c>
    </row>
    <row r="1447" spans="1:5" x14ac:dyDescent="0.25">
      <c r="A1447" s="3" t="s">
        <v>5</v>
      </c>
      <c r="B1447" s="3" t="s">
        <v>595</v>
      </c>
      <c r="C1447" s="3" t="s">
        <v>246</v>
      </c>
      <c r="D1447" s="4">
        <f>HYPERLINK("https://cao.dolgi.msk.ru/account/1060040543/", 1060040543)</f>
        <v>1060040543</v>
      </c>
      <c r="E1447" s="3">
        <v>10381.07</v>
      </c>
    </row>
    <row r="1448" spans="1:5" x14ac:dyDescent="0.25">
      <c r="A1448" s="3" t="s">
        <v>5</v>
      </c>
      <c r="B1448" s="3" t="s">
        <v>596</v>
      </c>
      <c r="C1448" s="3" t="s">
        <v>141</v>
      </c>
      <c r="D1448" s="4">
        <f>HYPERLINK("https://cao.dolgi.msk.ru/account/1060040842/", 1060040842)</f>
        <v>1060040842</v>
      </c>
      <c r="E1448" s="3">
        <v>49374.81</v>
      </c>
    </row>
    <row r="1449" spans="1:5" x14ac:dyDescent="0.25">
      <c r="A1449" s="3" t="s">
        <v>5</v>
      </c>
      <c r="B1449" s="3" t="s">
        <v>596</v>
      </c>
      <c r="C1449" s="3" t="s">
        <v>141</v>
      </c>
      <c r="D1449" s="4">
        <f>HYPERLINK("https://cao.dolgi.msk.ru/account/1060040869/", 1060040869)</f>
        <v>1060040869</v>
      </c>
      <c r="E1449" s="3">
        <v>321255.38</v>
      </c>
    </row>
    <row r="1450" spans="1:5" x14ac:dyDescent="0.25">
      <c r="A1450" s="3" t="s">
        <v>5</v>
      </c>
      <c r="B1450" s="3" t="s">
        <v>596</v>
      </c>
      <c r="C1450" s="3" t="s">
        <v>10</v>
      </c>
      <c r="D1450" s="4">
        <f>HYPERLINK("https://cao.dolgi.msk.ru/account/1060040922/", 1060040922)</f>
        <v>1060040922</v>
      </c>
      <c r="E1450" s="3">
        <v>10469.68</v>
      </c>
    </row>
    <row r="1451" spans="1:5" x14ac:dyDescent="0.25">
      <c r="A1451" s="3" t="s">
        <v>5</v>
      </c>
      <c r="B1451" s="3" t="s">
        <v>596</v>
      </c>
      <c r="C1451" s="3" t="s">
        <v>18</v>
      </c>
      <c r="D1451" s="4">
        <f>HYPERLINK("https://cao.dolgi.msk.ru/account/1060882126/", 1060882126)</f>
        <v>1060882126</v>
      </c>
      <c r="E1451" s="3">
        <v>16232.6</v>
      </c>
    </row>
    <row r="1452" spans="1:5" x14ac:dyDescent="0.25">
      <c r="A1452" s="3" t="s">
        <v>5</v>
      </c>
      <c r="B1452" s="3" t="s">
        <v>596</v>
      </c>
      <c r="C1452" s="3" t="s">
        <v>44</v>
      </c>
      <c r="D1452" s="4">
        <f>HYPERLINK("https://cao.dolgi.msk.ru/account/1060041386/", 1060041386)</f>
        <v>1060041386</v>
      </c>
      <c r="E1452" s="3">
        <v>1314.77</v>
      </c>
    </row>
    <row r="1453" spans="1:5" x14ac:dyDescent="0.25">
      <c r="A1453" s="3" t="s">
        <v>5</v>
      </c>
      <c r="B1453" s="3" t="s">
        <v>597</v>
      </c>
      <c r="C1453" s="3" t="s">
        <v>9</v>
      </c>
      <c r="D1453" s="4">
        <f>HYPERLINK("https://cao.dolgi.msk.ru/account/1060085768/", 1060085768)</f>
        <v>1060085768</v>
      </c>
      <c r="E1453" s="3">
        <v>4465.3100000000004</v>
      </c>
    </row>
    <row r="1454" spans="1:5" x14ac:dyDescent="0.25">
      <c r="A1454" s="3" t="s">
        <v>5</v>
      </c>
      <c r="B1454" s="3" t="s">
        <v>597</v>
      </c>
      <c r="C1454" s="3" t="s">
        <v>50</v>
      </c>
      <c r="D1454" s="4">
        <f>HYPERLINK("https://cao.dolgi.msk.ru/account/1060240086/", 1060240086)</f>
        <v>1060240086</v>
      </c>
      <c r="E1454" s="3">
        <v>44806.62</v>
      </c>
    </row>
    <row r="1455" spans="1:5" x14ac:dyDescent="0.25">
      <c r="A1455" s="3" t="s">
        <v>5</v>
      </c>
      <c r="B1455" s="3" t="s">
        <v>597</v>
      </c>
      <c r="C1455" s="3" t="s">
        <v>57</v>
      </c>
      <c r="D1455" s="4">
        <f>HYPERLINK("https://cao.dolgi.msk.ru/account/1060240158/", 1060240158)</f>
        <v>1060240158</v>
      </c>
      <c r="E1455" s="3">
        <v>3889.93</v>
      </c>
    </row>
    <row r="1456" spans="1:5" x14ac:dyDescent="0.25">
      <c r="A1456" s="3" t="s">
        <v>5</v>
      </c>
      <c r="B1456" s="3" t="s">
        <v>597</v>
      </c>
      <c r="C1456" s="3" t="s">
        <v>72</v>
      </c>
      <c r="D1456" s="4">
        <f>HYPERLINK("https://cao.dolgi.msk.ru/account/1060240326/", 1060240326)</f>
        <v>1060240326</v>
      </c>
      <c r="E1456" s="3">
        <v>7427.81</v>
      </c>
    </row>
    <row r="1457" spans="1:5" x14ac:dyDescent="0.25">
      <c r="A1457" s="3" t="s">
        <v>5</v>
      </c>
      <c r="B1457" s="3" t="s">
        <v>597</v>
      </c>
      <c r="C1457" s="3" t="s">
        <v>147</v>
      </c>
      <c r="D1457" s="4">
        <f>HYPERLINK("https://cao.dolgi.msk.ru/account/1060240764/", 1060240764)</f>
        <v>1060240764</v>
      </c>
      <c r="E1457" s="3">
        <v>15397.1</v>
      </c>
    </row>
    <row r="1458" spans="1:5" x14ac:dyDescent="0.25">
      <c r="A1458" s="3" t="s">
        <v>5</v>
      </c>
      <c r="B1458" s="3" t="s">
        <v>597</v>
      </c>
      <c r="C1458" s="3" t="s">
        <v>104</v>
      </c>
      <c r="D1458" s="4">
        <f>HYPERLINK("https://cao.dolgi.msk.ru/account/1060240799/", 1060240799)</f>
        <v>1060240799</v>
      </c>
      <c r="E1458" s="3">
        <v>25831.31</v>
      </c>
    </row>
    <row r="1459" spans="1:5" x14ac:dyDescent="0.25">
      <c r="A1459" s="3" t="s">
        <v>5</v>
      </c>
      <c r="B1459" s="3" t="s">
        <v>597</v>
      </c>
      <c r="C1459" s="3" t="s">
        <v>152</v>
      </c>
      <c r="D1459" s="4">
        <f>HYPERLINK("https://cao.dolgi.msk.ru/account/1060240967/", 1060240967)</f>
        <v>1060240967</v>
      </c>
      <c r="E1459" s="3">
        <v>13976.12</v>
      </c>
    </row>
    <row r="1460" spans="1:5" x14ac:dyDescent="0.25">
      <c r="A1460" s="3" t="s">
        <v>5</v>
      </c>
      <c r="B1460" s="3" t="s">
        <v>597</v>
      </c>
      <c r="C1460" s="3" t="s">
        <v>171</v>
      </c>
      <c r="D1460" s="4">
        <f>HYPERLINK("https://cao.dolgi.msk.ru/account/1060241193/", 1060241193)</f>
        <v>1060241193</v>
      </c>
      <c r="E1460" s="3">
        <v>10544.77</v>
      </c>
    </row>
    <row r="1461" spans="1:5" x14ac:dyDescent="0.25">
      <c r="A1461" s="3" t="s">
        <v>5</v>
      </c>
      <c r="B1461" s="3" t="s">
        <v>597</v>
      </c>
      <c r="C1461" s="3" t="s">
        <v>172</v>
      </c>
      <c r="D1461" s="4">
        <f>HYPERLINK("https://cao.dolgi.msk.ru/account/1060241206/", 1060241206)</f>
        <v>1060241206</v>
      </c>
      <c r="E1461" s="3">
        <v>167617.69</v>
      </c>
    </row>
    <row r="1462" spans="1:5" x14ac:dyDescent="0.25">
      <c r="A1462" s="3" t="s">
        <v>5</v>
      </c>
      <c r="B1462" s="3" t="s">
        <v>597</v>
      </c>
      <c r="C1462" s="3" t="s">
        <v>177</v>
      </c>
      <c r="D1462" s="4">
        <f>HYPERLINK("https://cao.dolgi.msk.ru/account/1060241265/", 1060241265)</f>
        <v>1060241265</v>
      </c>
      <c r="E1462" s="3">
        <v>100054.86</v>
      </c>
    </row>
    <row r="1463" spans="1:5" x14ac:dyDescent="0.25">
      <c r="A1463" s="3" t="s">
        <v>5</v>
      </c>
      <c r="B1463" s="3" t="s">
        <v>597</v>
      </c>
      <c r="C1463" s="3" t="s">
        <v>193</v>
      </c>
      <c r="D1463" s="4">
        <f>HYPERLINK("https://cao.dolgi.msk.ru/account/1060241468/", 1060241468)</f>
        <v>1060241468</v>
      </c>
      <c r="E1463" s="3">
        <v>7848.16</v>
      </c>
    </row>
    <row r="1464" spans="1:5" x14ac:dyDescent="0.25">
      <c r="A1464" s="3" t="s">
        <v>5</v>
      </c>
      <c r="B1464" s="3" t="s">
        <v>597</v>
      </c>
      <c r="C1464" s="3" t="s">
        <v>598</v>
      </c>
      <c r="D1464" s="4">
        <f>HYPERLINK("https://cao.dolgi.msk.ru/account/1060852963/", 1060852963)</f>
        <v>1060852963</v>
      </c>
      <c r="E1464" s="3">
        <v>23148.77</v>
      </c>
    </row>
    <row r="1465" spans="1:5" x14ac:dyDescent="0.25">
      <c r="A1465" s="3" t="s">
        <v>5</v>
      </c>
      <c r="B1465" s="3" t="s">
        <v>597</v>
      </c>
      <c r="C1465" s="3" t="s">
        <v>209</v>
      </c>
      <c r="D1465" s="4">
        <f>HYPERLINK("https://cao.dolgi.msk.ru/account/1060241564/", 1060241564)</f>
        <v>1060241564</v>
      </c>
      <c r="E1465" s="3">
        <v>12051.77</v>
      </c>
    </row>
    <row r="1466" spans="1:5" x14ac:dyDescent="0.25">
      <c r="A1466" s="3" t="s">
        <v>5</v>
      </c>
      <c r="B1466" s="3" t="s">
        <v>597</v>
      </c>
      <c r="C1466" s="3" t="s">
        <v>214</v>
      </c>
      <c r="D1466" s="4">
        <f>HYPERLINK("https://cao.dolgi.msk.ru/account/1060241636/", 1060241636)</f>
        <v>1060241636</v>
      </c>
      <c r="E1466" s="3">
        <v>54610.75</v>
      </c>
    </row>
    <row r="1467" spans="1:5" x14ac:dyDescent="0.25">
      <c r="A1467" s="3" t="s">
        <v>5</v>
      </c>
      <c r="B1467" s="3" t="s">
        <v>597</v>
      </c>
      <c r="C1467" s="3" t="s">
        <v>234</v>
      </c>
      <c r="D1467" s="4">
        <f>HYPERLINK("https://cao.dolgi.msk.ru/account/1060241863/", 1060241863)</f>
        <v>1060241863</v>
      </c>
      <c r="E1467" s="3">
        <v>12486.89</v>
      </c>
    </row>
    <row r="1468" spans="1:5" x14ac:dyDescent="0.25">
      <c r="A1468" s="3" t="s">
        <v>5</v>
      </c>
      <c r="B1468" s="3" t="s">
        <v>597</v>
      </c>
      <c r="C1468" s="3" t="s">
        <v>236</v>
      </c>
      <c r="D1468" s="4">
        <f>HYPERLINK("https://cao.dolgi.msk.ru/account/1060241898/", 1060241898)</f>
        <v>1060241898</v>
      </c>
      <c r="E1468" s="3">
        <v>7118.21</v>
      </c>
    </row>
    <row r="1469" spans="1:5" x14ac:dyDescent="0.25">
      <c r="A1469" s="3" t="s">
        <v>5</v>
      </c>
      <c r="B1469" s="3" t="s">
        <v>597</v>
      </c>
      <c r="C1469" s="3" t="s">
        <v>249</v>
      </c>
      <c r="D1469" s="4">
        <f>HYPERLINK("https://cao.dolgi.msk.ru/account/1060242065/", 1060242065)</f>
        <v>1060242065</v>
      </c>
      <c r="E1469" s="3">
        <v>194638.47</v>
      </c>
    </row>
    <row r="1470" spans="1:5" x14ac:dyDescent="0.25">
      <c r="A1470" s="3" t="s">
        <v>5</v>
      </c>
      <c r="B1470" s="3" t="s">
        <v>597</v>
      </c>
      <c r="C1470" s="3" t="s">
        <v>256</v>
      </c>
      <c r="D1470" s="4">
        <f>HYPERLINK("https://cao.dolgi.msk.ru/account/1060242153/", 1060242153)</f>
        <v>1060242153</v>
      </c>
      <c r="E1470" s="3">
        <v>1823.4</v>
      </c>
    </row>
    <row r="1471" spans="1:5" x14ac:dyDescent="0.25">
      <c r="A1471" s="3" t="s">
        <v>5</v>
      </c>
      <c r="B1471" s="3" t="s">
        <v>597</v>
      </c>
      <c r="C1471" s="3" t="s">
        <v>262</v>
      </c>
      <c r="D1471" s="4">
        <f>HYPERLINK("https://cao.dolgi.msk.ru/account/1060822107/", 1060822107)</f>
        <v>1060822107</v>
      </c>
      <c r="E1471" s="3">
        <v>3706.99</v>
      </c>
    </row>
    <row r="1472" spans="1:5" x14ac:dyDescent="0.25">
      <c r="A1472" s="3" t="s">
        <v>5</v>
      </c>
      <c r="B1472" s="3" t="s">
        <v>597</v>
      </c>
      <c r="C1472" s="3" t="s">
        <v>263</v>
      </c>
      <c r="D1472" s="4">
        <f>HYPERLINK("https://cao.dolgi.msk.ru/account/1060242233/", 1060242233)</f>
        <v>1060242233</v>
      </c>
      <c r="E1472" s="3">
        <v>12334.68</v>
      </c>
    </row>
    <row r="1473" spans="1:5" x14ac:dyDescent="0.25">
      <c r="A1473" s="3" t="s">
        <v>5</v>
      </c>
      <c r="B1473" s="3" t="s">
        <v>597</v>
      </c>
      <c r="C1473" s="3" t="s">
        <v>269</v>
      </c>
      <c r="D1473" s="4">
        <f>HYPERLINK("https://cao.dolgi.msk.ru/account/1060242313/", 1060242313)</f>
        <v>1060242313</v>
      </c>
      <c r="E1473" s="3">
        <v>10657.64</v>
      </c>
    </row>
    <row r="1474" spans="1:5" x14ac:dyDescent="0.25">
      <c r="A1474" s="3" t="s">
        <v>5</v>
      </c>
      <c r="B1474" s="3" t="s">
        <v>597</v>
      </c>
      <c r="C1474" s="3" t="s">
        <v>271</v>
      </c>
      <c r="D1474" s="4">
        <f>HYPERLINK("https://cao.dolgi.msk.ru/account/1060242356/", 1060242356)</f>
        <v>1060242356</v>
      </c>
      <c r="E1474" s="3">
        <v>5671.9</v>
      </c>
    </row>
    <row r="1475" spans="1:5" x14ac:dyDescent="0.25">
      <c r="A1475" s="3" t="s">
        <v>5</v>
      </c>
      <c r="B1475" s="3" t="s">
        <v>597</v>
      </c>
      <c r="C1475" s="3" t="s">
        <v>284</v>
      </c>
      <c r="D1475" s="4">
        <f>HYPERLINK("https://cao.dolgi.msk.ru/account/1060242567/", 1060242567)</f>
        <v>1060242567</v>
      </c>
      <c r="E1475" s="3">
        <v>7935.15</v>
      </c>
    </row>
    <row r="1476" spans="1:5" x14ac:dyDescent="0.25">
      <c r="A1476" s="3" t="s">
        <v>5</v>
      </c>
      <c r="B1476" s="3" t="s">
        <v>597</v>
      </c>
      <c r="C1476" s="3" t="s">
        <v>118</v>
      </c>
      <c r="D1476" s="4">
        <f>HYPERLINK("https://cao.dolgi.msk.ru/account/1060242866/", 1060242866)</f>
        <v>1060242866</v>
      </c>
      <c r="E1476" s="3">
        <v>6068.55</v>
      </c>
    </row>
    <row r="1477" spans="1:5" x14ac:dyDescent="0.25">
      <c r="A1477" s="3" t="s">
        <v>5</v>
      </c>
      <c r="B1477" s="3" t="s">
        <v>599</v>
      </c>
      <c r="C1477" s="3" t="s">
        <v>33</v>
      </c>
      <c r="D1477" s="4">
        <f>HYPERLINK("https://cao.dolgi.msk.ru/account/1060226495/", 1060226495)</f>
        <v>1060226495</v>
      </c>
      <c r="E1477" s="3">
        <v>12498.54</v>
      </c>
    </row>
    <row r="1478" spans="1:5" x14ac:dyDescent="0.25">
      <c r="A1478" s="3" t="s">
        <v>5</v>
      </c>
      <c r="B1478" s="3" t="s">
        <v>599</v>
      </c>
      <c r="C1478" s="3" t="s">
        <v>40</v>
      </c>
      <c r="D1478" s="4">
        <f>HYPERLINK("https://cao.dolgi.msk.ru/account/1060226575/", 1060226575)</f>
        <v>1060226575</v>
      </c>
      <c r="E1478" s="3">
        <v>6102.12</v>
      </c>
    </row>
    <row r="1479" spans="1:5" x14ac:dyDescent="0.25">
      <c r="A1479" s="3" t="s">
        <v>5</v>
      </c>
      <c r="B1479" s="3" t="s">
        <v>599</v>
      </c>
      <c r="C1479" s="3" t="s">
        <v>55</v>
      </c>
      <c r="D1479" s="4">
        <f>HYPERLINK("https://cao.dolgi.msk.ru/account/1060226743/", 1060226743)</f>
        <v>1060226743</v>
      </c>
      <c r="E1479" s="3">
        <v>13102.16</v>
      </c>
    </row>
    <row r="1480" spans="1:5" x14ac:dyDescent="0.25">
      <c r="A1480" s="3" t="s">
        <v>5</v>
      </c>
      <c r="B1480" s="3" t="s">
        <v>599</v>
      </c>
      <c r="C1480" s="3" t="s">
        <v>56</v>
      </c>
      <c r="D1480" s="4">
        <f>HYPERLINK("https://cao.dolgi.msk.ru/account/1060226751/", 1060226751)</f>
        <v>1060226751</v>
      </c>
      <c r="E1480" s="3">
        <v>6690.4</v>
      </c>
    </row>
    <row r="1481" spans="1:5" x14ac:dyDescent="0.25">
      <c r="A1481" s="3" t="s">
        <v>5</v>
      </c>
      <c r="B1481" s="3" t="s">
        <v>599</v>
      </c>
      <c r="C1481" s="3" t="s">
        <v>98</v>
      </c>
      <c r="D1481" s="4">
        <f>HYPERLINK("https://cao.dolgi.msk.ru/account/1060227201/", 1060227201)</f>
        <v>1060227201</v>
      </c>
      <c r="E1481" s="3">
        <v>46663.38</v>
      </c>
    </row>
    <row r="1482" spans="1:5" x14ac:dyDescent="0.25">
      <c r="A1482" s="3" t="s">
        <v>5</v>
      </c>
      <c r="B1482" s="3" t="s">
        <v>599</v>
      </c>
      <c r="C1482" s="3" t="s">
        <v>106</v>
      </c>
      <c r="D1482" s="4">
        <f>HYPERLINK("https://cao.dolgi.msk.ru/account/1060227332/", 1060227332)</f>
        <v>1060227332</v>
      </c>
      <c r="E1482" s="3">
        <v>19702.46</v>
      </c>
    </row>
    <row r="1483" spans="1:5" x14ac:dyDescent="0.25">
      <c r="A1483" s="3" t="s">
        <v>5</v>
      </c>
      <c r="B1483" s="3" t="s">
        <v>599</v>
      </c>
      <c r="C1483" s="3" t="s">
        <v>107</v>
      </c>
      <c r="D1483" s="4">
        <f>HYPERLINK("https://cao.dolgi.msk.ru/account/1060227359/", 1060227359)</f>
        <v>1060227359</v>
      </c>
      <c r="E1483" s="3">
        <v>3529.24</v>
      </c>
    </row>
    <row r="1484" spans="1:5" x14ac:dyDescent="0.25">
      <c r="A1484" s="3" t="s">
        <v>5</v>
      </c>
      <c r="B1484" s="3" t="s">
        <v>599</v>
      </c>
      <c r="C1484" s="3" t="s">
        <v>108</v>
      </c>
      <c r="D1484" s="4">
        <f>HYPERLINK("https://cao.dolgi.msk.ru/account/1060227367/", 1060227367)</f>
        <v>1060227367</v>
      </c>
      <c r="E1484" s="3">
        <v>273621.09000000003</v>
      </c>
    </row>
    <row r="1485" spans="1:5" x14ac:dyDescent="0.25">
      <c r="A1485" s="3" t="s">
        <v>5</v>
      </c>
      <c r="B1485" s="3" t="s">
        <v>599</v>
      </c>
      <c r="C1485" s="3" t="s">
        <v>110</v>
      </c>
      <c r="D1485" s="4">
        <f>HYPERLINK("https://cao.dolgi.msk.ru/account/1060227383/", 1060227383)</f>
        <v>1060227383</v>
      </c>
      <c r="E1485" s="3">
        <v>3117.78</v>
      </c>
    </row>
    <row r="1486" spans="1:5" x14ac:dyDescent="0.25">
      <c r="A1486" s="3" t="s">
        <v>5</v>
      </c>
      <c r="B1486" s="3" t="s">
        <v>599</v>
      </c>
      <c r="C1486" s="3" t="s">
        <v>112</v>
      </c>
      <c r="D1486" s="4">
        <f>HYPERLINK("https://cao.dolgi.msk.ru/account/1060227404/", 1060227404)</f>
        <v>1060227404</v>
      </c>
      <c r="E1486" s="3">
        <v>15717.2</v>
      </c>
    </row>
    <row r="1487" spans="1:5" x14ac:dyDescent="0.25">
      <c r="A1487" s="3" t="s">
        <v>5</v>
      </c>
      <c r="B1487" s="3" t="s">
        <v>599</v>
      </c>
      <c r="C1487" s="3" t="s">
        <v>114</v>
      </c>
      <c r="D1487" s="4">
        <f>HYPERLINK("https://cao.dolgi.msk.ru/account/1060227439/", 1060227439)</f>
        <v>1060227439</v>
      </c>
      <c r="E1487" s="3">
        <v>25805.79</v>
      </c>
    </row>
    <row r="1488" spans="1:5" x14ac:dyDescent="0.25">
      <c r="A1488" s="3" t="s">
        <v>5</v>
      </c>
      <c r="B1488" s="3" t="s">
        <v>599</v>
      </c>
      <c r="C1488" s="3" t="s">
        <v>174</v>
      </c>
      <c r="D1488" s="4">
        <f>HYPERLINK("https://cao.dolgi.msk.ru/account/1060227789/", 1060227789)</f>
        <v>1060227789</v>
      </c>
      <c r="E1488" s="3">
        <v>231129.53</v>
      </c>
    </row>
    <row r="1489" spans="1:5" x14ac:dyDescent="0.25">
      <c r="A1489" s="3" t="s">
        <v>5</v>
      </c>
      <c r="B1489" s="3" t="s">
        <v>599</v>
      </c>
      <c r="C1489" s="3" t="s">
        <v>176</v>
      </c>
      <c r="D1489" s="4">
        <f>HYPERLINK("https://cao.dolgi.msk.ru/account/1060227818/", 1060227818)</f>
        <v>1060227818</v>
      </c>
      <c r="E1489" s="3">
        <v>6683.7</v>
      </c>
    </row>
    <row r="1490" spans="1:5" x14ac:dyDescent="0.25">
      <c r="A1490" s="3" t="s">
        <v>5</v>
      </c>
      <c r="B1490" s="3" t="s">
        <v>599</v>
      </c>
      <c r="C1490" s="3" t="s">
        <v>177</v>
      </c>
      <c r="D1490" s="4">
        <f>HYPERLINK("https://cao.dolgi.msk.ru/account/1060227826/", 1060227826)</f>
        <v>1060227826</v>
      </c>
      <c r="E1490" s="3">
        <v>52527.79</v>
      </c>
    </row>
    <row r="1491" spans="1:5" x14ac:dyDescent="0.25">
      <c r="A1491" s="3" t="s">
        <v>5</v>
      </c>
      <c r="B1491" s="3" t="s">
        <v>599</v>
      </c>
      <c r="C1491" s="3" t="s">
        <v>185</v>
      </c>
      <c r="D1491" s="4">
        <f>HYPERLINK("https://cao.dolgi.msk.ru/account/1060227914/", 1060227914)</f>
        <v>1060227914</v>
      </c>
      <c r="E1491" s="3">
        <v>7760.64</v>
      </c>
    </row>
    <row r="1492" spans="1:5" x14ac:dyDescent="0.25">
      <c r="A1492" s="3" t="s">
        <v>5</v>
      </c>
      <c r="B1492" s="3" t="s">
        <v>599</v>
      </c>
      <c r="C1492" s="3" t="s">
        <v>202</v>
      </c>
      <c r="D1492" s="4">
        <f>HYPERLINK("https://cao.dolgi.msk.ru/account/1060228132/", 1060228132)</f>
        <v>1060228132</v>
      </c>
      <c r="E1492" s="3">
        <v>10019.959999999999</v>
      </c>
    </row>
    <row r="1493" spans="1:5" x14ac:dyDescent="0.25">
      <c r="A1493" s="3" t="s">
        <v>5</v>
      </c>
      <c r="B1493" s="3" t="s">
        <v>599</v>
      </c>
      <c r="C1493" s="3" t="s">
        <v>203</v>
      </c>
      <c r="D1493" s="4">
        <f>HYPERLINK("https://cao.dolgi.msk.ru/account/1060228159/", 1060228159)</f>
        <v>1060228159</v>
      </c>
      <c r="E1493" s="3">
        <v>9951.19</v>
      </c>
    </row>
    <row r="1494" spans="1:5" x14ac:dyDescent="0.25">
      <c r="A1494" s="3" t="s">
        <v>5</v>
      </c>
      <c r="B1494" s="3" t="s">
        <v>599</v>
      </c>
      <c r="C1494" s="3" t="s">
        <v>213</v>
      </c>
      <c r="D1494" s="4">
        <f>HYPERLINK("https://cao.dolgi.msk.ru/account/1060228212/", 1060228212)</f>
        <v>1060228212</v>
      </c>
      <c r="E1494" s="3">
        <v>4340.76</v>
      </c>
    </row>
    <row r="1495" spans="1:5" x14ac:dyDescent="0.25">
      <c r="A1495" s="3" t="s">
        <v>5</v>
      </c>
      <c r="B1495" s="3" t="s">
        <v>599</v>
      </c>
      <c r="C1495" s="3" t="s">
        <v>221</v>
      </c>
      <c r="D1495" s="4">
        <f>HYPERLINK("https://cao.dolgi.msk.ru/account/1060228327/", 1060228327)</f>
        <v>1060228327</v>
      </c>
      <c r="E1495" s="3">
        <v>42784.34</v>
      </c>
    </row>
    <row r="1496" spans="1:5" x14ac:dyDescent="0.25">
      <c r="A1496" s="3" t="s">
        <v>5</v>
      </c>
      <c r="B1496" s="3" t="s">
        <v>599</v>
      </c>
      <c r="C1496" s="3" t="s">
        <v>222</v>
      </c>
      <c r="D1496" s="4">
        <f>HYPERLINK("https://cao.dolgi.msk.ru/account/1060228335/", 1060228335)</f>
        <v>1060228335</v>
      </c>
      <c r="E1496" s="3">
        <v>9107.33</v>
      </c>
    </row>
    <row r="1497" spans="1:5" x14ac:dyDescent="0.25">
      <c r="A1497" s="3" t="s">
        <v>5</v>
      </c>
      <c r="B1497" s="3" t="s">
        <v>599</v>
      </c>
      <c r="C1497" s="3" t="s">
        <v>226</v>
      </c>
      <c r="D1497" s="4">
        <f>HYPERLINK("https://cao.dolgi.msk.ru/account/1060228386/", 1060228386)</f>
        <v>1060228386</v>
      </c>
      <c r="E1497" s="3">
        <v>415185.93</v>
      </c>
    </row>
    <row r="1498" spans="1:5" x14ac:dyDescent="0.25">
      <c r="A1498" s="3" t="s">
        <v>5</v>
      </c>
      <c r="B1498" s="3" t="s">
        <v>599</v>
      </c>
      <c r="C1498" s="3" t="s">
        <v>248</v>
      </c>
      <c r="D1498" s="4">
        <f>HYPERLINK("https://cao.dolgi.msk.ru/account/1060228677/", 1060228677)</f>
        <v>1060228677</v>
      </c>
      <c r="E1498" s="3">
        <v>27069.15</v>
      </c>
    </row>
    <row r="1499" spans="1:5" x14ac:dyDescent="0.25">
      <c r="A1499" s="3" t="s">
        <v>5</v>
      </c>
      <c r="B1499" s="3" t="s">
        <v>599</v>
      </c>
      <c r="C1499" s="3" t="s">
        <v>251</v>
      </c>
      <c r="D1499" s="4">
        <f>HYPERLINK("https://cao.dolgi.msk.ru/account/1060228706/", 1060228706)</f>
        <v>1060228706</v>
      </c>
      <c r="E1499" s="3">
        <v>22601.33</v>
      </c>
    </row>
    <row r="1500" spans="1:5" x14ac:dyDescent="0.25">
      <c r="A1500" s="3" t="s">
        <v>5</v>
      </c>
      <c r="B1500" s="3" t="s">
        <v>599</v>
      </c>
      <c r="C1500" s="3" t="s">
        <v>272</v>
      </c>
      <c r="D1500" s="4">
        <f>HYPERLINK("https://cao.dolgi.msk.ru/account/1060229004/", 1060229004)</f>
        <v>1060229004</v>
      </c>
      <c r="E1500" s="3">
        <v>240883.53</v>
      </c>
    </row>
    <row r="1501" spans="1:5" x14ac:dyDescent="0.25">
      <c r="A1501" s="3" t="s">
        <v>5</v>
      </c>
      <c r="B1501" s="3" t="s">
        <v>599</v>
      </c>
      <c r="C1501" s="3" t="s">
        <v>274</v>
      </c>
      <c r="D1501" s="4">
        <f>HYPERLINK("https://cao.dolgi.msk.ru/account/1060229047/", 1060229047)</f>
        <v>1060229047</v>
      </c>
      <c r="E1501" s="3">
        <v>335189.96999999997</v>
      </c>
    </row>
    <row r="1502" spans="1:5" x14ac:dyDescent="0.25">
      <c r="A1502" s="3" t="s">
        <v>5</v>
      </c>
      <c r="B1502" s="3" t="s">
        <v>599</v>
      </c>
      <c r="C1502" s="3" t="s">
        <v>276</v>
      </c>
      <c r="D1502" s="4">
        <f>HYPERLINK("https://cao.dolgi.msk.ru/account/1060229063/", 1060229063)</f>
        <v>1060229063</v>
      </c>
      <c r="E1502" s="3">
        <v>12504.26</v>
      </c>
    </row>
    <row r="1503" spans="1:5" x14ac:dyDescent="0.25">
      <c r="A1503" s="3" t="s">
        <v>5</v>
      </c>
      <c r="B1503" s="3" t="s">
        <v>599</v>
      </c>
      <c r="C1503" s="3" t="s">
        <v>280</v>
      </c>
      <c r="D1503" s="4">
        <f>HYPERLINK("https://cao.dolgi.msk.ru/account/1060229135/", 1060229135)</f>
        <v>1060229135</v>
      </c>
      <c r="E1503" s="3">
        <v>21587.56</v>
      </c>
    </row>
    <row r="1504" spans="1:5" x14ac:dyDescent="0.25">
      <c r="A1504" s="3" t="s">
        <v>5</v>
      </c>
      <c r="B1504" s="3" t="s">
        <v>599</v>
      </c>
      <c r="C1504" s="3" t="s">
        <v>117</v>
      </c>
      <c r="D1504" s="4">
        <f>HYPERLINK("https://cao.dolgi.msk.ru/account/1060229485/", 1060229485)</f>
        <v>1060229485</v>
      </c>
      <c r="E1504" s="3">
        <v>11032.03</v>
      </c>
    </row>
    <row r="1505" spans="1:5" x14ac:dyDescent="0.25">
      <c r="A1505" s="3" t="s">
        <v>5</v>
      </c>
      <c r="B1505" s="3" t="s">
        <v>599</v>
      </c>
      <c r="C1505" s="3" t="s">
        <v>305</v>
      </c>
      <c r="D1505" s="4">
        <f>HYPERLINK("https://cao.dolgi.msk.ru/account/1060229661/", 1060229661)</f>
        <v>1060229661</v>
      </c>
      <c r="E1505" s="3">
        <v>35178.879999999997</v>
      </c>
    </row>
    <row r="1506" spans="1:5" x14ac:dyDescent="0.25">
      <c r="A1506" s="3" t="s">
        <v>5</v>
      </c>
      <c r="B1506" s="3" t="s">
        <v>599</v>
      </c>
      <c r="C1506" s="3" t="s">
        <v>316</v>
      </c>
      <c r="D1506" s="4">
        <f>HYPERLINK("https://cao.dolgi.msk.ru/account/1060889248/", 1060889248)</f>
        <v>1060889248</v>
      </c>
      <c r="E1506" s="3">
        <v>13066.51</v>
      </c>
    </row>
    <row r="1507" spans="1:5" x14ac:dyDescent="0.25">
      <c r="A1507" s="3" t="s">
        <v>5</v>
      </c>
      <c r="B1507" s="3" t="s">
        <v>599</v>
      </c>
      <c r="C1507" s="3" t="s">
        <v>319</v>
      </c>
      <c r="D1507" s="4">
        <f>HYPERLINK("https://cao.dolgi.msk.ru/account/1060229901/", 1060229901)</f>
        <v>1060229901</v>
      </c>
      <c r="E1507" s="3">
        <v>7993.39</v>
      </c>
    </row>
    <row r="1508" spans="1:5" x14ac:dyDescent="0.25">
      <c r="A1508" s="3" t="s">
        <v>5</v>
      </c>
      <c r="B1508" s="3" t="s">
        <v>599</v>
      </c>
      <c r="C1508" s="3" t="s">
        <v>320</v>
      </c>
      <c r="D1508" s="4">
        <f>HYPERLINK("https://cao.dolgi.msk.ru/account/1060229936/", 1060229936)</f>
        <v>1060229936</v>
      </c>
      <c r="E1508" s="3">
        <v>16824.060000000001</v>
      </c>
    </row>
    <row r="1509" spans="1:5" x14ac:dyDescent="0.25">
      <c r="A1509" s="3" t="s">
        <v>5</v>
      </c>
      <c r="B1509" s="3" t="s">
        <v>599</v>
      </c>
      <c r="C1509" s="3" t="s">
        <v>321</v>
      </c>
      <c r="D1509" s="4">
        <f>HYPERLINK("https://cao.dolgi.msk.ru/account/1060229944/", 1060229944)</f>
        <v>1060229944</v>
      </c>
      <c r="E1509" s="3">
        <v>62259.74</v>
      </c>
    </row>
    <row r="1510" spans="1:5" x14ac:dyDescent="0.25">
      <c r="A1510" s="3" t="s">
        <v>5</v>
      </c>
      <c r="B1510" s="3" t="s">
        <v>599</v>
      </c>
      <c r="C1510" s="3" t="s">
        <v>325</v>
      </c>
      <c r="D1510" s="4">
        <f>HYPERLINK("https://cao.dolgi.msk.ru/account/1060230005/", 1060230005)</f>
        <v>1060230005</v>
      </c>
      <c r="E1510" s="3">
        <v>3260.33</v>
      </c>
    </row>
    <row r="1511" spans="1:5" x14ac:dyDescent="0.25">
      <c r="A1511" s="3" t="s">
        <v>5</v>
      </c>
      <c r="B1511" s="3" t="s">
        <v>599</v>
      </c>
      <c r="C1511" s="3" t="s">
        <v>343</v>
      </c>
      <c r="D1511" s="4">
        <f>HYPERLINK("https://cao.dolgi.msk.ru/account/1060230283/", 1060230283)</f>
        <v>1060230283</v>
      </c>
      <c r="E1511" s="3">
        <v>3793.9</v>
      </c>
    </row>
    <row r="1512" spans="1:5" x14ac:dyDescent="0.25">
      <c r="A1512" s="3" t="s">
        <v>5</v>
      </c>
      <c r="B1512" s="3" t="s">
        <v>599</v>
      </c>
      <c r="C1512" s="3" t="s">
        <v>349</v>
      </c>
      <c r="D1512" s="4">
        <f>HYPERLINK("https://cao.dolgi.msk.ru/account/1060230398/", 1060230398)</f>
        <v>1060230398</v>
      </c>
      <c r="E1512" s="3">
        <v>149943.12</v>
      </c>
    </row>
    <row r="1513" spans="1:5" x14ac:dyDescent="0.25">
      <c r="A1513" s="3" t="s">
        <v>5</v>
      </c>
      <c r="B1513" s="3" t="s">
        <v>599</v>
      </c>
      <c r="C1513" s="3" t="s">
        <v>351</v>
      </c>
      <c r="D1513" s="4">
        <f>HYPERLINK("https://cao.dolgi.msk.ru/account/1060230427/", 1060230427)</f>
        <v>1060230427</v>
      </c>
      <c r="E1513" s="3">
        <v>65511.55</v>
      </c>
    </row>
    <row r="1514" spans="1:5" x14ac:dyDescent="0.25">
      <c r="A1514" s="3" t="s">
        <v>5</v>
      </c>
      <c r="B1514" s="3" t="s">
        <v>599</v>
      </c>
      <c r="C1514" s="3" t="s">
        <v>361</v>
      </c>
      <c r="D1514" s="4">
        <f>HYPERLINK("https://cao.dolgi.msk.ru/account/1060230742/", 1060230742)</f>
        <v>1060230742</v>
      </c>
      <c r="E1514" s="3">
        <v>8194.1299999999992</v>
      </c>
    </row>
    <row r="1515" spans="1:5" x14ac:dyDescent="0.25">
      <c r="A1515" s="3" t="s">
        <v>5</v>
      </c>
      <c r="B1515" s="3" t="s">
        <v>599</v>
      </c>
      <c r="C1515" s="3" t="s">
        <v>368</v>
      </c>
      <c r="D1515" s="4">
        <f>HYPERLINK("https://cao.dolgi.msk.ru/account/1060230902/", 1060230902)</f>
        <v>1060230902</v>
      </c>
      <c r="E1515" s="3">
        <v>15919.07</v>
      </c>
    </row>
    <row r="1516" spans="1:5" x14ac:dyDescent="0.25">
      <c r="A1516" s="3" t="s">
        <v>5</v>
      </c>
      <c r="B1516" s="3" t="s">
        <v>599</v>
      </c>
      <c r="C1516" s="3" t="s">
        <v>372</v>
      </c>
      <c r="D1516" s="4">
        <f>HYPERLINK("https://cao.dolgi.msk.ru/account/1060230988/", 1060230988)</f>
        <v>1060230988</v>
      </c>
      <c r="E1516" s="3">
        <v>13746.11</v>
      </c>
    </row>
    <row r="1517" spans="1:5" x14ac:dyDescent="0.25">
      <c r="A1517" s="3" t="s">
        <v>5</v>
      </c>
      <c r="B1517" s="3" t="s">
        <v>599</v>
      </c>
      <c r="C1517" s="3" t="s">
        <v>375</v>
      </c>
      <c r="D1517" s="4">
        <f>HYPERLINK("https://cao.dolgi.msk.ru/account/1060231016/", 1060231016)</f>
        <v>1060231016</v>
      </c>
      <c r="E1517" s="3">
        <v>10732.94</v>
      </c>
    </row>
    <row r="1518" spans="1:5" x14ac:dyDescent="0.25">
      <c r="A1518" s="3" t="s">
        <v>5</v>
      </c>
      <c r="B1518" s="3" t="s">
        <v>599</v>
      </c>
      <c r="C1518" s="3" t="s">
        <v>391</v>
      </c>
      <c r="D1518" s="4">
        <f>HYPERLINK("https://cao.dolgi.msk.ru/account/1060231323/", 1060231323)</f>
        <v>1060231323</v>
      </c>
      <c r="E1518" s="3">
        <v>18303.72</v>
      </c>
    </row>
    <row r="1519" spans="1:5" x14ac:dyDescent="0.25">
      <c r="A1519" s="3" t="s">
        <v>5</v>
      </c>
      <c r="B1519" s="3" t="s">
        <v>599</v>
      </c>
      <c r="C1519" s="3" t="s">
        <v>395</v>
      </c>
      <c r="D1519" s="4">
        <f>HYPERLINK("https://cao.dolgi.msk.ru/account/1060231462/", 1060231462)</f>
        <v>1060231462</v>
      </c>
      <c r="E1519" s="3">
        <v>5733.56</v>
      </c>
    </row>
    <row r="1520" spans="1:5" x14ac:dyDescent="0.25">
      <c r="A1520" s="3" t="s">
        <v>5</v>
      </c>
      <c r="B1520" s="3" t="s">
        <v>599</v>
      </c>
      <c r="C1520" s="3" t="s">
        <v>402</v>
      </c>
      <c r="D1520" s="4">
        <f>HYPERLINK("https://cao.dolgi.msk.ru/account/1060231593/", 1060231593)</f>
        <v>1060231593</v>
      </c>
      <c r="E1520" s="3">
        <v>14423.31</v>
      </c>
    </row>
    <row r="1521" spans="1:5" x14ac:dyDescent="0.25">
      <c r="A1521" s="3" t="s">
        <v>5</v>
      </c>
      <c r="B1521" s="3" t="s">
        <v>599</v>
      </c>
      <c r="C1521" s="3" t="s">
        <v>403</v>
      </c>
      <c r="D1521" s="4">
        <f>HYPERLINK("https://cao.dolgi.msk.ru/account/1060231606/", 1060231606)</f>
        <v>1060231606</v>
      </c>
      <c r="E1521" s="3">
        <v>32447.22</v>
      </c>
    </row>
    <row r="1522" spans="1:5" x14ac:dyDescent="0.25">
      <c r="A1522" s="3" t="s">
        <v>5</v>
      </c>
      <c r="B1522" s="3" t="s">
        <v>599</v>
      </c>
      <c r="C1522" s="3" t="s">
        <v>404</v>
      </c>
      <c r="D1522" s="4">
        <f>HYPERLINK("https://cao.dolgi.msk.ru/account/1060231614/", 1060231614)</f>
        <v>1060231614</v>
      </c>
      <c r="E1522" s="3">
        <v>10365.99</v>
      </c>
    </row>
    <row r="1523" spans="1:5" x14ac:dyDescent="0.25">
      <c r="A1523" s="3" t="s">
        <v>5</v>
      </c>
      <c r="B1523" s="3" t="s">
        <v>599</v>
      </c>
      <c r="C1523" s="3" t="s">
        <v>405</v>
      </c>
      <c r="D1523" s="4">
        <f>HYPERLINK("https://cao.dolgi.msk.ru/account/1060231649/", 1060231649)</f>
        <v>1060231649</v>
      </c>
      <c r="E1523" s="3">
        <v>3122.86</v>
      </c>
    </row>
    <row r="1524" spans="1:5" x14ac:dyDescent="0.25">
      <c r="A1524" s="3" t="s">
        <v>5</v>
      </c>
      <c r="B1524" s="3" t="s">
        <v>599</v>
      </c>
      <c r="C1524" s="3" t="s">
        <v>421</v>
      </c>
      <c r="D1524" s="4">
        <f>HYPERLINK("https://cao.dolgi.msk.ru/account/1060231964/", 1060231964)</f>
        <v>1060231964</v>
      </c>
      <c r="E1524" s="3">
        <v>16792.23</v>
      </c>
    </row>
    <row r="1525" spans="1:5" x14ac:dyDescent="0.25">
      <c r="A1525" s="3" t="s">
        <v>5</v>
      </c>
      <c r="B1525" s="3" t="s">
        <v>599</v>
      </c>
      <c r="C1525" s="3" t="s">
        <v>430</v>
      </c>
      <c r="D1525" s="4">
        <f>HYPERLINK("https://cao.dolgi.msk.ru/account/1060232369/", 1060232369)</f>
        <v>1060232369</v>
      </c>
      <c r="E1525" s="3">
        <v>13278.92</v>
      </c>
    </row>
    <row r="1526" spans="1:5" x14ac:dyDescent="0.25">
      <c r="A1526" s="3" t="s">
        <v>5</v>
      </c>
      <c r="B1526" s="3" t="s">
        <v>599</v>
      </c>
      <c r="C1526" s="3" t="s">
        <v>434</v>
      </c>
      <c r="D1526" s="4">
        <f>HYPERLINK("https://cao.dolgi.msk.ru/account/1060232545/", 1060232545)</f>
        <v>1060232545</v>
      </c>
      <c r="E1526" s="3">
        <v>338028.4</v>
      </c>
    </row>
    <row r="1527" spans="1:5" x14ac:dyDescent="0.25">
      <c r="A1527" s="3" t="s">
        <v>5</v>
      </c>
      <c r="B1527" s="3" t="s">
        <v>600</v>
      </c>
      <c r="C1527" s="3" t="s">
        <v>139</v>
      </c>
      <c r="D1527" s="4">
        <f>HYPERLINK("https://cao.dolgi.msk.ru/account/1060232844/", 1060232844)</f>
        <v>1060232844</v>
      </c>
      <c r="E1527" s="3">
        <v>79499.710000000006</v>
      </c>
    </row>
    <row r="1528" spans="1:5" x14ac:dyDescent="0.25">
      <c r="A1528" s="3" t="s">
        <v>5</v>
      </c>
      <c r="B1528" s="3" t="s">
        <v>600</v>
      </c>
      <c r="C1528" s="3" t="s">
        <v>41</v>
      </c>
      <c r="D1528" s="4">
        <f>HYPERLINK("https://cao.dolgi.msk.ru/account/1060233281/", 1060233281)</f>
        <v>1060233281</v>
      </c>
      <c r="E1528" s="3">
        <v>19271.45</v>
      </c>
    </row>
    <row r="1529" spans="1:5" x14ac:dyDescent="0.25">
      <c r="A1529" s="3" t="s">
        <v>5</v>
      </c>
      <c r="B1529" s="3" t="s">
        <v>600</v>
      </c>
      <c r="C1529" s="3" t="s">
        <v>48</v>
      </c>
      <c r="D1529" s="4">
        <f>HYPERLINK("https://cao.dolgi.msk.ru/account/1060233388/", 1060233388)</f>
        <v>1060233388</v>
      </c>
      <c r="E1529" s="3">
        <v>6291.59</v>
      </c>
    </row>
    <row r="1530" spans="1:5" x14ac:dyDescent="0.25">
      <c r="A1530" s="3" t="s">
        <v>5</v>
      </c>
      <c r="B1530" s="3" t="s">
        <v>600</v>
      </c>
      <c r="C1530" s="3" t="s">
        <v>52</v>
      </c>
      <c r="D1530" s="4">
        <f>HYPERLINK("https://cao.dolgi.msk.ru/account/1060233417/", 1060233417)</f>
        <v>1060233417</v>
      </c>
      <c r="E1530" s="3">
        <v>14895.04</v>
      </c>
    </row>
    <row r="1531" spans="1:5" x14ac:dyDescent="0.25">
      <c r="A1531" s="3" t="s">
        <v>5</v>
      </c>
      <c r="B1531" s="3" t="s">
        <v>600</v>
      </c>
      <c r="C1531" s="3" t="s">
        <v>53</v>
      </c>
      <c r="D1531" s="4">
        <f>HYPERLINK("https://cao.dolgi.msk.ru/account/1060233425/", 1060233425)</f>
        <v>1060233425</v>
      </c>
      <c r="E1531" s="3">
        <v>56343.37</v>
      </c>
    </row>
    <row r="1532" spans="1:5" x14ac:dyDescent="0.25">
      <c r="A1532" s="3" t="s">
        <v>5</v>
      </c>
      <c r="B1532" s="3" t="s">
        <v>600</v>
      </c>
      <c r="C1532" s="3" t="s">
        <v>76</v>
      </c>
      <c r="D1532" s="4">
        <f>HYPERLINK("https://cao.dolgi.msk.ru/account/1060233644/", 1060233644)</f>
        <v>1060233644</v>
      </c>
      <c r="E1532" s="3">
        <v>116401.99</v>
      </c>
    </row>
    <row r="1533" spans="1:5" x14ac:dyDescent="0.25">
      <c r="A1533" s="3" t="s">
        <v>5</v>
      </c>
      <c r="B1533" s="3" t="s">
        <v>600</v>
      </c>
      <c r="C1533" s="3" t="s">
        <v>144</v>
      </c>
      <c r="D1533" s="4">
        <f>HYPERLINK("https://cao.dolgi.msk.ru/account/1060233791/", 1060233791)</f>
        <v>1060233791</v>
      </c>
      <c r="E1533" s="3">
        <v>25859.07</v>
      </c>
    </row>
    <row r="1534" spans="1:5" x14ac:dyDescent="0.25">
      <c r="A1534" s="3" t="s">
        <v>5</v>
      </c>
      <c r="B1534" s="3" t="s">
        <v>600</v>
      </c>
      <c r="C1534" s="3" t="s">
        <v>148</v>
      </c>
      <c r="D1534" s="4">
        <f>HYPERLINK("https://cao.dolgi.msk.ru/account/1060234014/", 1060234014)</f>
        <v>1060234014</v>
      </c>
      <c r="E1534" s="3">
        <v>6413.56</v>
      </c>
    </row>
    <row r="1535" spans="1:5" x14ac:dyDescent="0.25">
      <c r="A1535" s="3" t="s">
        <v>5</v>
      </c>
      <c r="B1535" s="3" t="s">
        <v>600</v>
      </c>
      <c r="C1535" s="3" t="s">
        <v>150</v>
      </c>
      <c r="D1535" s="4">
        <f>HYPERLINK("https://cao.dolgi.msk.ru/account/1060234196/", 1060234196)</f>
        <v>1060234196</v>
      </c>
      <c r="E1535" s="3">
        <v>53986.080000000002</v>
      </c>
    </row>
    <row r="1536" spans="1:5" x14ac:dyDescent="0.25">
      <c r="A1536" s="3" t="s">
        <v>5</v>
      </c>
      <c r="B1536" s="3" t="s">
        <v>600</v>
      </c>
      <c r="C1536" s="3" t="s">
        <v>153</v>
      </c>
      <c r="D1536" s="4">
        <f>HYPERLINK("https://cao.dolgi.msk.ru/account/1060234225/", 1060234225)</f>
        <v>1060234225</v>
      </c>
      <c r="E1536" s="3">
        <v>7678.76</v>
      </c>
    </row>
    <row r="1537" spans="1:5" x14ac:dyDescent="0.25">
      <c r="A1537" s="3" t="s">
        <v>5</v>
      </c>
      <c r="B1537" s="3" t="s">
        <v>600</v>
      </c>
      <c r="C1537" s="3" t="s">
        <v>187</v>
      </c>
      <c r="D1537" s="4">
        <f>HYPERLINK("https://cao.dolgi.msk.ru/account/1060234639/", 1060234639)</f>
        <v>1060234639</v>
      </c>
      <c r="E1537" s="3">
        <v>29354.97</v>
      </c>
    </row>
    <row r="1538" spans="1:5" x14ac:dyDescent="0.25">
      <c r="A1538" s="3" t="s">
        <v>5</v>
      </c>
      <c r="B1538" s="3" t="s">
        <v>600</v>
      </c>
      <c r="C1538" s="3" t="s">
        <v>188</v>
      </c>
      <c r="D1538" s="4">
        <f>HYPERLINK("https://cao.dolgi.msk.ru/account/1060234647/", 1060234647)</f>
        <v>1060234647</v>
      </c>
      <c r="E1538" s="3">
        <v>9084.19</v>
      </c>
    </row>
    <row r="1539" spans="1:5" x14ac:dyDescent="0.25">
      <c r="A1539" s="3" t="s">
        <v>5</v>
      </c>
      <c r="B1539" s="3" t="s">
        <v>600</v>
      </c>
      <c r="C1539" s="3" t="s">
        <v>201</v>
      </c>
      <c r="D1539" s="4">
        <f>HYPERLINK("https://cao.dolgi.msk.ru/account/1060234807/", 1060234807)</f>
        <v>1060234807</v>
      </c>
      <c r="E1539" s="3">
        <v>12638.13</v>
      </c>
    </row>
    <row r="1540" spans="1:5" x14ac:dyDescent="0.25">
      <c r="A1540" s="3" t="s">
        <v>5</v>
      </c>
      <c r="B1540" s="3" t="s">
        <v>600</v>
      </c>
      <c r="C1540" s="3" t="s">
        <v>202</v>
      </c>
      <c r="D1540" s="4">
        <f>HYPERLINK("https://cao.dolgi.msk.ru/account/1060234815/", 1060234815)</f>
        <v>1060234815</v>
      </c>
      <c r="E1540" s="3">
        <v>23282.240000000002</v>
      </c>
    </row>
    <row r="1541" spans="1:5" x14ac:dyDescent="0.25">
      <c r="A1541" s="3" t="s">
        <v>5</v>
      </c>
      <c r="B1541" s="3" t="s">
        <v>600</v>
      </c>
      <c r="C1541" s="3" t="s">
        <v>226</v>
      </c>
      <c r="D1541" s="4">
        <f>HYPERLINK("https://cao.dolgi.msk.ru/account/1060235068/", 1060235068)</f>
        <v>1060235068</v>
      </c>
      <c r="E1541" s="3">
        <v>7432.44</v>
      </c>
    </row>
    <row r="1542" spans="1:5" x14ac:dyDescent="0.25">
      <c r="A1542" s="3" t="s">
        <v>5</v>
      </c>
      <c r="B1542" s="3" t="s">
        <v>600</v>
      </c>
      <c r="C1542" s="3" t="s">
        <v>228</v>
      </c>
      <c r="D1542" s="4">
        <f>HYPERLINK("https://cao.dolgi.msk.ru/account/1060235084/", 1060235084)</f>
        <v>1060235084</v>
      </c>
      <c r="E1542" s="3">
        <v>7268.77</v>
      </c>
    </row>
    <row r="1543" spans="1:5" x14ac:dyDescent="0.25">
      <c r="A1543" s="3" t="s">
        <v>5</v>
      </c>
      <c r="B1543" s="3" t="s">
        <v>600</v>
      </c>
      <c r="C1543" s="3" t="s">
        <v>247</v>
      </c>
      <c r="D1543" s="4">
        <f>HYPERLINK("https://cao.dolgi.msk.ru/account/1060235324/", 1060235324)</f>
        <v>1060235324</v>
      </c>
      <c r="E1543" s="3">
        <v>94230.44</v>
      </c>
    </row>
    <row r="1544" spans="1:5" x14ac:dyDescent="0.25">
      <c r="A1544" s="3" t="s">
        <v>5</v>
      </c>
      <c r="B1544" s="3" t="s">
        <v>600</v>
      </c>
      <c r="C1544" s="3" t="s">
        <v>248</v>
      </c>
      <c r="D1544" s="4">
        <f>HYPERLINK("https://cao.dolgi.msk.ru/account/1060235332/", 1060235332)</f>
        <v>1060235332</v>
      </c>
      <c r="E1544" s="3">
        <v>48468.33</v>
      </c>
    </row>
    <row r="1545" spans="1:5" x14ac:dyDescent="0.25">
      <c r="A1545" s="3" t="s">
        <v>5</v>
      </c>
      <c r="B1545" s="3" t="s">
        <v>600</v>
      </c>
      <c r="C1545" s="3" t="s">
        <v>248</v>
      </c>
      <c r="D1545" s="4">
        <f>HYPERLINK("https://cao.dolgi.msk.ru/account/1060235359/", 1060235359)</f>
        <v>1060235359</v>
      </c>
      <c r="E1545" s="3">
        <v>4118.17</v>
      </c>
    </row>
    <row r="1546" spans="1:5" x14ac:dyDescent="0.25">
      <c r="A1546" s="3" t="s">
        <v>5</v>
      </c>
      <c r="B1546" s="3" t="s">
        <v>600</v>
      </c>
      <c r="C1546" s="3" t="s">
        <v>266</v>
      </c>
      <c r="D1546" s="4">
        <f>HYPERLINK("https://cao.dolgi.msk.ru/account/1060235594/", 1060235594)</f>
        <v>1060235594</v>
      </c>
      <c r="E1546" s="3">
        <v>14435.99</v>
      </c>
    </row>
    <row r="1547" spans="1:5" x14ac:dyDescent="0.25">
      <c r="A1547" s="3" t="s">
        <v>5</v>
      </c>
      <c r="B1547" s="3" t="s">
        <v>600</v>
      </c>
      <c r="C1547" s="3" t="s">
        <v>270</v>
      </c>
      <c r="D1547" s="4">
        <f>HYPERLINK("https://cao.dolgi.msk.ru/account/1060235631/", 1060235631)</f>
        <v>1060235631</v>
      </c>
      <c r="E1547" s="3">
        <v>12430.97</v>
      </c>
    </row>
    <row r="1548" spans="1:5" x14ac:dyDescent="0.25">
      <c r="A1548" s="3" t="s">
        <v>5</v>
      </c>
      <c r="B1548" s="3" t="s">
        <v>600</v>
      </c>
      <c r="C1548" s="3" t="s">
        <v>281</v>
      </c>
      <c r="D1548" s="4">
        <f>HYPERLINK("https://cao.dolgi.msk.ru/account/1060235869/", 1060235869)</f>
        <v>1060235869</v>
      </c>
      <c r="E1548" s="3">
        <v>49707</v>
      </c>
    </row>
    <row r="1549" spans="1:5" x14ac:dyDescent="0.25">
      <c r="A1549" s="3" t="s">
        <v>5</v>
      </c>
      <c r="B1549" s="3" t="s">
        <v>600</v>
      </c>
      <c r="C1549" s="3" t="s">
        <v>288</v>
      </c>
      <c r="D1549" s="4">
        <f>HYPERLINK("https://cao.dolgi.msk.ru/account/1060235949/", 1060235949)</f>
        <v>1060235949</v>
      </c>
      <c r="E1549" s="3">
        <v>39707.25</v>
      </c>
    </row>
    <row r="1550" spans="1:5" x14ac:dyDescent="0.25">
      <c r="A1550" s="3" t="s">
        <v>5</v>
      </c>
      <c r="B1550" s="3" t="s">
        <v>600</v>
      </c>
      <c r="C1550" s="3" t="s">
        <v>293</v>
      </c>
      <c r="D1550" s="4">
        <f>HYPERLINK("https://cao.dolgi.msk.ru/account/1060236001/", 1060236001)</f>
        <v>1060236001</v>
      </c>
      <c r="E1550" s="3">
        <v>7130.26</v>
      </c>
    </row>
    <row r="1551" spans="1:5" x14ac:dyDescent="0.25">
      <c r="A1551" s="3" t="s">
        <v>5</v>
      </c>
      <c r="B1551" s="3" t="s">
        <v>600</v>
      </c>
      <c r="C1551" s="3" t="s">
        <v>307</v>
      </c>
      <c r="D1551" s="4">
        <f>HYPERLINK("https://cao.dolgi.msk.ru/account/1060236407/", 1060236407)</f>
        <v>1060236407</v>
      </c>
      <c r="E1551" s="3">
        <v>130786.65</v>
      </c>
    </row>
    <row r="1552" spans="1:5" x14ac:dyDescent="0.25">
      <c r="A1552" s="3" t="s">
        <v>5</v>
      </c>
      <c r="B1552" s="3" t="s">
        <v>600</v>
      </c>
      <c r="C1552" s="3" t="s">
        <v>331</v>
      </c>
      <c r="D1552" s="4">
        <f>HYPERLINK("https://cao.dolgi.msk.ru/account/1060236837/", 1060236837)</f>
        <v>1060236837</v>
      </c>
      <c r="E1552" s="3">
        <v>14878.67</v>
      </c>
    </row>
    <row r="1553" spans="1:5" x14ac:dyDescent="0.25">
      <c r="A1553" s="3" t="s">
        <v>5</v>
      </c>
      <c r="B1553" s="3" t="s">
        <v>600</v>
      </c>
      <c r="C1553" s="3" t="s">
        <v>333</v>
      </c>
      <c r="D1553" s="4">
        <f>HYPERLINK("https://cao.dolgi.msk.ru/account/1060236888/", 1060236888)</f>
        <v>1060236888</v>
      </c>
      <c r="E1553" s="3">
        <v>11240.5</v>
      </c>
    </row>
    <row r="1554" spans="1:5" x14ac:dyDescent="0.25">
      <c r="A1554" s="3" t="s">
        <v>5</v>
      </c>
      <c r="B1554" s="3" t="s">
        <v>600</v>
      </c>
      <c r="C1554" s="3" t="s">
        <v>336</v>
      </c>
      <c r="D1554" s="4">
        <f>HYPERLINK("https://cao.dolgi.msk.ru/account/1060236917/", 1060236917)</f>
        <v>1060236917</v>
      </c>
      <c r="E1554" s="3">
        <v>8358.82</v>
      </c>
    </row>
    <row r="1555" spans="1:5" x14ac:dyDescent="0.25">
      <c r="A1555" s="3" t="s">
        <v>5</v>
      </c>
      <c r="B1555" s="3" t="s">
        <v>600</v>
      </c>
      <c r="C1555" s="3" t="s">
        <v>347</v>
      </c>
      <c r="D1555" s="4">
        <f>HYPERLINK("https://cao.dolgi.msk.ru/account/1060237098/", 1060237098)</f>
        <v>1060237098</v>
      </c>
      <c r="E1555" s="3">
        <v>11757.46</v>
      </c>
    </row>
    <row r="1556" spans="1:5" x14ac:dyDescent="0.25">
      <c r="A1556" s="3" t="s">
        <v>5</v>
      </c>
      <c r="B1556" s="3" t="s">
        <v>600</v>
      </c>
      <c r="C1556" s="3" t="s">
        <v>348</v>
      </c>
      <c r="D1556" s="4">
        <f>HYPERLINK("https://cao.dolgi.msk.ru/account/1060237119/", 1060237119)</f>
        <v>1060237119</v>
      </c>
      <c r="E1556" s="3">
        <v>9148.98</v>
      </c>
    </row>
    <row r="1557" spans="1:5" x14ac:dyDescent="0.25">
      <c r="A1557" s="3" t="s">
        <v>5</v>
      </c>
      <c r="B1557" s="3" t="s">
        <v>600</v>
      </c>
      <c r="C1557" s="3" t="s">
        <v>365</v>
      </c>
      <c r="D1557" s="4">
        <f>HYPERLINK("https://cao.dolgi.msk.ru/account/1060237514/", 1060237514)</f>
        <v>1060237514</v>
      </c>
      <c r="E1557" s="3">
        <v>5706.33</v>
      </c>
    </row>
    <row r="1558" spans="1:5" x14ac:dyDescent="0.25">
      <c r="A1558" s="3" t="s">
        <v>5</v>
      </c>
      <c r="B1558" s="3" t="s">
        <v>600</v>
      </c>
      <c r="C1558" s="3" t="s">
        <v>372</v>
      </c>
      <c r="D1558" s="4">
        <f>HYPERLINK("https://cao.dolgi.msk.ru/account/1060237696/", 1060237696)</f>
        <v>1060237696</v>
      </c>
      <c r="E1558" s="3">
        <v>12256.15</v>
      </c>
    </row>
    <row r="1559" spans="1:5" x14ac:dyDescent="0.25">
      <c r="A1559" s="3" t="s">
        <v>5</v>
      </c>
      <c r="B1559" s="3" t="s">
        <v>600</v>
      </c>
      <c r="C1559" s="3" t="s">
        <v>378</v>
      </c>
      <c r="D1559" s="4">
        <f>HYPERLINK("https://cao.dolgi.msk.ru/account/1060237776/", 1060237776)</f>
        <v>1060237776</v>
      </c>
      <c r="E1559" s="3">
        <v>96843.08</v>
      </c>
    </row>
    <row r="1560" spans="1:5" x14ac:dyDescent="0.25">
      <c r="A1560" s="3" t="s">
        <v>5</v>
      </c>
      <c r="B1560" s="3" t="s">
        <v>600</v>
      </c>
      <c r="C1560" s="3" t="s">
        <v>379</v>
      </c>
      <c r="D1560" s="4">
        <f>HYPERLINK("https://cao.dolgi.msk.ru/account/1060237792/", 1060237792)</f>
        <v>1060237792</v>
      </c>
      <c r="E1560" s="3">
        <v>9469.94</v>
      </c>
    </row>
    <row r="1561" spans="1:5" x14ac:dyDescent="0.25">
      <c r="A1561" s="3" t="s">
        <v>5</v>
      </c>
      <c r="B1561" s="3" t="s">
        <v>600</v>
      </c>
      <c r="C1561" s="3" t="s">
        <v>385</v>
      </c>
      <c r="D1561" s="4">
        <f>HYPERLINK("https://cao.dolgi.msk.ru/account/1060237899/", 1060237899)</f>
        <v>1060237899</v>
      </c>
      <c r="E1561" s="3">
        <v>34299.9</v>
      </c>
    </row>
    <row r="1562" spans="1:5" x14ac:dyDescent="0.25">
      <c r="A1562" s="3" t="s">
        <v>5</v>
      </c>
      <c r="B1562" s="3" t="s">
        <v>600</v>
      </c>
      <c r="C1562" s="3" t="s">
        <v>387</v>
      </c>
      <c r="D1562" s="4">
        <f>HYPERLINK("https://cao.dolgi.msk.ru/account/1060237944/", 1060237944)</f>
        <v>1060237944</v>
      </c>
      <c r="E1562" s="3">
        <v>11832.38</v>
      </c>
    </row>
    <row r="1563" spans="1:5" x14ac:dyDescent="0.25">
      <c r="A1563" s="3" t="s">
        <v>5</v>
      </c>
      <c r="B1563" s="3" t="s">
        <v>600</v>
      </c>
      <c r="C1563" s="3" t="s">
        <v>389</v>
      </c>
      <c r="D1563" s="4">
        <f>HYPERLINK("https://cao.dolgi.msk.ru/account/1060237995/", 1060237995)</f>
        <v>1060237995</v>
      </c>
      <c r="E1563" s="3">
        <v>10387.969999999999</v>
      </c>
    </row>
    <row r="1564" spans="1:5" x14ac:dyDescent="0.25">
      <c r="A1564" s="3" t="s">
        <v>5</v>
      </c>
      <c r="B1564" s="3" t="s">
        <v>600</v>
      </c>
      <c r="C1564" s="3" t="s">
        <v>394</v>
      </c>
      <c r="D1564" s="4">
        <f>HYPERLINK("https://cao.dolgi.msk.ru/account/1060238154/", 1060238154)</f>
        <v>1060238154</v>
      </c>
      <c r="E1564" s="3">
        <v>14807.11</v>
      </c>
    </row>
    <row r="1565" spans="1:5" x14ac:dyDescent="0.25">
      <c r="A1565" s="3" t="s">
        <v>5</v>
      </c>
      <c r="B1565" s="3" t="s">
        <v>600</v>
      </c>
      <c r="C1565" s="3" t="s">
        <v>396</v>
      </c>
      <c r="D1565" s="4">
        <f>HYPERLINK("https://cao.dolgi.msk.ru/account/1060238218/", 1060238218)</f>
        <v>1060238218</v>
      </c>
      <c r="E1565" s="3">
        <v>27683.49</v>
      </c>
    </row>
    <row r="1566" spans="1:5" x14ac:dyDescent="0.25">
      <c r="A1566" s="3" t="s">
        <v>5</v>
      </c>
      <c r="B1566" s="3" t="s">
        <v>600</v>
      </c>
      <c r="C1566" s="3" t="s">
        <v>399</v>
      </c>
      <c r="D1566" s="4">
        <f>HYPERLINK("https://cao.dolgi.msk.ru/account/1060238269/", 1060238269)</f>
        <v>1060238269</v>
      </c>
      <c r="E1566" s="3">
        <v>54589.74</v>
      </c>
    </row>
    <row r="1567" spans="1:5" x14ac:dyDescent="0.25">
      <c r="A1567" s="3" t="s">
        <v>5</v>
      </c>
      <c r="B1567" s="3" t="s">
        <v>600</v>
      </c>
      <c r="C1567" s="3" t="s">
        <v>408</v>
      </c>
      <c r="D1567" s="4">
        <f>HYPERLINK("https://cao.dolgi.msk.ru/account/1060816073/", 1060816073)</f>
        <v>1060816073</v>
      </c>
      <c r="E1567" s="3">
        <v>77746.759999999995</v>
      </c>
    </row>
    <row r="1568" spans="1:5" x14ac:dyDescent="0.25">
      <c r="A1568" s="3" t="s">
        <v>5</v>
      </c>
      <c r="B1568" s="3" t="s">
        <v>600</v>
      </c>
      <c r="C1568" s="3" t="s">
        <v>412</v>
      </c>
      <c r="D1568" s="4">
        <f>HYPERLINK("https://cao.dolgi.msk.ru/account/1060238509/", 1060238509)</f>
        <v>1060238509</v>
      </c>
      <c r="E1568" s="3">
        <v>13743.27</v>
      </c>
    </row>
    <row r="1569" spans="1:5" x14ac:dyDescent="0.25">
      <c r="A1569" s="3" t="s">
        <v>5</v>
      </c>
      <c r="B1569" s="3" t="s">
        <v>600</v>
      </c>
      <c r="C1569" s="3" t="s">
        <v>413</v>
      </c>
      <c r="D1569" s="4">
        <f>HYPERLINK("https://cao.dolgi.msk.ru/account/1060238525/", 1060238525)</f>
        <v>1060238525</v>
      </c>
      <c r="E1569" s="3">
        <v>12254.35</v>
      </c>
    </row>
    <row r="1570" spans="1:5" x14ac:dyDescent="0.25">
      <c r="A1570" s="3" t="s">
        <v>5</v>
      </c>
      <c r="B1570" s="3" t="s">
        <v>600</v>
      </c>
      <c r="C1570" s="3" t="s">
        <v>415</v>
      </c>
      <c r="D1570" s="4">
        <f>HYPERLINK("https://cao.dolgi.msk.ru/account/1060238541/", 1060238541)</f>
        <v>1060238541</v>
      </c>
      <c r="E1570" s="3">
        <v>30731.62</v>
      </c>
    </row>
    <row r="1571" spans="1:5" x14ac:dyDescent="0.25">
      <c r="A1571" s="3" t="s">
        <v>5</v>
      </c>
      <c r="B1571" s="3" t="s">
        <v>600</v>
      </c>
      <c r="C1571" s="3" t="s">
        <v>426</v>
      </c>
      <c r="D1571" s="4">
        <f>HYPERLINK("https://cao.dolgi.msk.ru/account/1060238912/", 1060238912)</f>
        <v>1060238912</v>
      </c>
      <c r="E1571" s="3">
        <v>33712.160000000003</v>
      </c>
    </row>
    <row r="1572" spans="1:5" x14ac:dyDescent="0.25">
      <c r="A1572" s="3" t="s">
        <v>5</v>
      </c>
      <c r="B1572" s="3" t="s">
        <v>600</v>
      </c>
      <c r="C1572" s="3" t="s">
        <v>427</v>
      </c>
      <c r="D1572" s="4">
        <f>HYPERLINK("https://cao.dolgi.msk.ru/account/1060881342/", 1060881342)</f>
        <v>1060881342</v>
      </c>
      <c r="E1572" s="3">
        <v>10541.1</v>
      </c>
    </row>
    <row r="1573" spans="1:5" x14ac:dyDescent="0.25">
      <c r="A1573" s="3" t="s">
        <v>5</v>
      </c>
      <c r="B1573" s="3" t="s">
        <v>600</v>
      </c>
      <c r="C1573" s="3" t="s">
        <v>428</v>
      </c>
      <c r="D1573" s="4">
        <f>HYPERLINK("https://cao.dolgi.msk.ru/account/1060239026/", 1060239026)</f>
        <v>1060239026</v>
      </c>
      <c r="E1573" s="3">
        <v>5937.49</v>
      </c>
    </row>
    <row r="1574" spans="1:5" x14ac:dyDescent="0.25">
      <c r="A1574" s="3" t="s">
        <v>5</v>
      </c>
      <c r="B1574" s="3" t="s">
        <v>601</v>
      </c>
      <c r="C1574" s="3" t="s">
        <v>602</v>
      </c>
      <c r="D1574" s="4">
        <f>HYPERLINK("https://cao.dolgi.msk.ru/account/1060258008/", 1060258008)</f>
        <v>1060258008</v>
      </c>
      <c r="E1574" s="3">
        <v>32419.83</v>
      </c>
    </row>
    <row r="1575" spans="1:5" x14ac:dyDescent="0.25">
      <c r="A1575" s="3" t="s">
        <v>5</v>
      </c>
      <c r="B1575" s="3" t="s">
        <v>603</v>
      </c>
      <c r="C1575" s="3" t="s">
        <v>51</v>
      </c>
      <c r="D1575" s="4">
        <f>HYPERLINK("https://cao.dolgi.msk.ru/account/1060243017/", 1060243017)</f>
        <v>1060243017</v>
      </c>
      <c r="E1575" s="3">
        <v>76023.61</v>
      </c>
    </row>
    <row r="1576" spans="1:5" x14ac:dyDescent="0.25">
      <c r="A1576" s="3" t="s">
        <v>5</v>
      </c>
      <c r="B1576" s="3" t="s">
        <v>603</v>
      </c>
      <c r="C1576" s="3" t="s">
        <v>89</v>
      </c>
      <c r="D1576" s="4">
        <f>HYPERLINK("https://cao.dolgi.msk.ru/account/1060243084/", 1060243084)</f>
        <v>1060243084</v>
      </c>
      <c r="E1576" s="3">
        <v>27911.11</v>
      </c>
    </row>
    <row r="1577" spans="1:5" x14ac:dyDescent="0.25">
      <c r="A1577" s="3" t="s">
        <v>5</v>
      </c>
      <c r="B1577" s="3" t="s">
        <v>603</v>
      </c>
      <c r="C1577" s="3" t="s">
        <v>134</v>
      </c>
      <c r="D1577" s="4">
        <f>HYPERLINK("https://cao.dolgi.msk.ru/account/1060243121/", 1060243121)</f>
        <v>1060243121</v>
      </c>
      <c r="E1577" s="3">
        <v>107023.48</v>
      </c>
    </row>
    <row r="1578" spans="1:5" x14ac:dyDescent="0.25">
      <c r="A1578" s="3" t="s">
        <v>5</v>
      </c>
      <c r="B1578" s="3" t="s">
        <v>603</v>
      </c>
      <c r="C1578" s="3" t="s">
        <v>137</v>
      </c>
      <c r="D1578" s="4">
        <f>HYPERLINK("https://cao.dolgi.msk.ru/account/1060243164/", 1060243164)</f>
        <v>1060243164</v>
      </c>
      <c r="E1578" s="3">
        <v>17611.240000000002</v>
      </c>
    </row>
    <row r="1579" spans="1:5" x14ac:dyDescent="0.25">
      <c r="A1579" s="3" t="s">
        <v>5</v>
      </c>
      <c r="B1579" s="3" t="s">
        <v>603</v>
      </c>
      <c r="C1579" s="3" t="s">
        <v>12</v>
      </c>
      <c r="D1579" s="4">
        <f>HYPERLINK("https://cao.dolgi.msk.ru/account/1060243295/", 1060243295)</f>
        <v>1060243295</v>
      </c>
      <c r="E1579" s="3">
        <v>84105.59</v>
      </c>
    </row>
    <row r="1580" spans="1:5" x14ac:dyDescent="0.25">
      <c r="A1580" s="3" t="s">
        <v>5</v>
      </c>
      <c r="B1580" s="3" t="s">
        <v>603</v>
      </c>
      <c r="C1580" s="3" t="s">
        <v>25</v>
      </c>
      <c r="D1580" s="4">
        <f>HYPERLINK("https://cao.dolgi.msk.ru/account/1060243447/", 1060243447)</f>
        <v>1060243447</v>
      </c>
      <c r="E1580" s="3">
        <v>26018.52</v>
      </c>
    </row>
    <row r="1581" spans="1:5" x14ac:dyDescent="0.25">
      <c r="A1581" s="3" t="s">
        <v>5</v>
      </c>
      <c r="B1581" s="3" t="s">
        <v>603</v>
      </c>
      <c r="C1581" s="3" t="s">
        <v>26</v>
      </c>
      <c r="D1581" s="4">
        <f>HYPERLINK("https://cao.dolgi.msk.ru/account/1060243455/", 1060243455)</f>
        <v>1060243455</v>
      </c>
      <c r="E1581" s="3">
        <v>11071.67</v>
      </c>
    </row>
    <row r="1582" spans="1:5" x14ac:dyDescent="0.25">
      <c r="A1582" s="3" t="s">
        <v>5</v>
      </c>
      <c r="B1582" s="3" t="s">
        <v>603</v>
      </c>
      <c r="C1582" s="3" t="s">
        <v>33</v>
      </c>
      <c r="D1582" s="4">
        <f>HYPERLINK("https://cao.dolgi.msk.ru/account/1060243535/", 1060243535)</f>
        <v>1060243535</v>
      </c>
      <c r="E1582" s="3">
        <v>1524789.07</v>
      </c>
    </row>
    <row r="1583" spans="1:5" x14ac:dyDescent="0.25">
      <c r="A1583" s="3" t="s">
        <v>5</v>
      </c>
      <c r="B1583" s="3" t="s">
        <v>603</v>
      </c>
      <c r="C1583" s="3" t="s">
        <v>57</v>
      </c>
      <c r="D1583" s="4">
        <f>HYPERLINK("https://cao.dolgi.msk.ru/account/1060243818/", 1060243818)</f>
        <v>1060243818</v>
      </c>
      <c r="E1583" s="3">
        <v>8362.2900000000009</v>
      </c>
    </row>
    <row r="1584" spans="1:5" x14ac:dyDescent="0.25">
      <c r="A1584" s="3" t="s">
        <v>5</v>
      </c>
      <c r="B1584" s="3" t="s">
        <v>603</v>
      </c>
      <c r="C1584" s="3" t="s">
        <v>59</v>
      </c>
      <c r="D1584" s="4">
        <f>HYPERLINK("https://cao.dolgi.msk.ru/account/1060243834/", 1060243834)</f>
        <v>1060243834</v>
      </c>
      <c r="E1584" s="3">
        <v>42033.25</v>
      </c>
    </row>
    <row r="1585" spans="1:5" x14ac:dyDescent="0.25">
      <c r="A1585" s="3" t="s">
        <v>5</v>
      </c>
      <c r="B1585" s="3" t="s">
        <v>603</v>
      </c>
      <c r="C1585" s="3" t="s">
        <v>75</v>
      </c>
      <c r="D1585" s="4">
        <f>HYPERLINK("https://cao.dolgi.msk.ru/account/1069100565/", 1069100565)</f>
        <v>1069100565</v>
      </c>
      <c r="E1585" s="3">
        <v>20085.91</v>
      </c>
    </row>
    <row r="1586" spans="1:5" x14ac:dyDescent="0.25">
      <c r="A1586" s="3" t="s">
        <v>5</v>
      </c>
      <c r="B1586" s="3" t="s">
        <v>603</v>
      </c>
      <c r="C1586" s="3" t="s">
        <v>77</v>
      </c>
      <c r="D1586" s="4">
        <f>HYPERLINK("https://cao.dolgi.msk.ru/account/1060881457/", 1060881457)</f>
        <v>1060881457</v>
      </c>
      <c r="E1586" s="3">
        <v>220264.93</v>
      </c>
    </row>
    <row r="1587" spans="1:5" x14ac:dyDescent="0.25">
      <c r="A1587" s="3" t="s">
        <v>5</v>
      </c>
      <c r="B1587" s="3" t="s">
        <v>603</v>
      </c>
      <c r="C1587" s="3" t="s">
        <v>78</v>
      </c>
      <c r="D1587" s="4">
        <f>HYPERLINK("https://cao.dolgi.msk.ru/account/1069100602/", 1069100602)</f>
        <v>1069100602</v>
      </c>
      <c r="E1587" s="3">
        <v>10034.84</v>
      </c>
    </row>
    <row r="1588" spans="1:5" x14ac:dyDescent="0.25">
      <c r="A1588" s="3" t="s">
        <v>5</v>
      </c>
      <c r="B1588" s="3" t="s">
        <v>603</v>
      </c>
      <c r="C1588" s="3" t="s">
        <v>81</v>
      </c>
      <c r="D1588" s="4">
        <f>HYPERLINK("https://cao.dolgi.msk.ru/account/1069100637/", 1069100637)</f>
        <v>1069100637</v>
      </c>
      <c r="E1588" s="3">
        <v>65966</v>
      </c>
    </row>
    <row r="1589" spans="1:5" x14ac:dyDescent="0.25">
      <c r="A1589" s="3" t="s">
        <v>5</v>
      </c>
      <c r="B1589" s="3" t="s">
        <v>603</v>
      </c>
      <c r="C1589" s="3" t="s">
        <v>86</v>
      </c>
      <c r="D1589" s="4">
        <f>HYPERLINK("https://cao.dolgi.msk.ru/account/1069100696/", 1069100696)</f>
        <v>1069100696</v>
      </c>
      <c r="E1589" s="3">
        <v>10022.91</v>
      </c>
    </row>
    <row r="1590" spans="1:5" x14ac:dyDescent="0.25">
      <c r="A1590" s="3" t="s">
        <v>5</v>
      </c>
      <c r="B1590" s="3" t="s">
        <v>603</v>
      </c>
      <c r="C1590" s="3" t="s">
        <v>92</v>
      </c>
      <c r="D1590" s="4">
        <f>HYPERLINK("https://cao.dolgi.msk.ru/account/1069100741/", 1069100741)</f>
        <v>1069100741</v>
      </c>
      <c r="E1590" s="3">
        <v>7162.85</v>
      </c>
    </row>
    <row r="1591" spans="1:5" x14ac:dyDescent="0.25">
      <c r="A1591" s="3" t="s">
        <v>5</v>
      </c>
      <c r="B1591" s="3" t="s">
        <v>603</v>
      </c>
      <c r="C1591" s="3" t="s">
        <v>93</v>
      </c>
      <c r="D1591" s="4">
        <f>HYPERLINK("https://cao.dolgi.msk.ru/account/1069100768/", 1069100768)</f>
        <v>1069100768</v>
      </c>
      <c r="E1591" s="3">
        <v>15487.86</v>
      </c>
    </row>
    <row r="1592" spans="1:5" x14ac:dyDescent="0.25">
      <c r="A1592" s="3" t="s">
        <v>5</v>
      </c>
      <c r="B1592" s="3" t="s">
        <v>603</v>
      </c>
      <c r="C1592" s="3" t="s">
        <v>94</v>
      </c>
      <c r="D1592" s="4">
        <f>HYPERLINK("https://cao.dolgi.msk.ru/account/1069100776/", 1069100776)</f>
        <v>1069100776</v>
      </c>
      <c r="E1592" s="3">
        <v>11259.66</v>
      </c>
    </row>
    <row r="1593" spans="1:5" x14ac:dyDescent="0.25">
      <c r="A1593" s="3" t="s">
        <v>5</v>
      </c>
      <c r="B1593" s="3" t="s">
        <v>603</v>
      </c>
      <c r="C1593" s="3" t="s">
        <v>145</v>
      </c>
      <c r="D1593" s="4">
        <f>HYPERLINK("https://cao.dolgi.msk.ru/account/1069100899/", 1069100899)</f>
        <v>1069100899</v>
      </c>
      <c r="E1593" s="3">
        <v>8894.9599999999991</v>
      </c>
    </row>
    <row r="1594" spans="1:5" x14ac:dyDescent="0.25">
      <c r="A1594" s="3" t="s">
        <v>5</v>
      </c>
      <c r="B1594" s="3" t="s">
        <v>603</v>
      </c>
      <c r="C1594" s="3" t="s">
        <v>148</v>
      </c>
      <c r="D1594" s="4">
        <f>HYPERLINK("https://cao.dolgi.msk.ru/account/1069100928/", 1069100928)</f>
        <v>1069100928</v>
      </c>
      <c r="E1594" s="3">
        <v>804273.95</v>
      </c>
    </row>
    <row r="1595" spans="1:5" x14ac:dyDescent="0.25">
      <c r="A1595" s="3" t="s">
        <v>5</v>
      </c>
      <c r="B1595" s="3" t="s">
        <v>603</v>
      </c>
      <c r="C1595" s="3" t="s">
        <v>106</v>
      </c>
      <c r="D1595" s="4">
        <f>HYPERLINK("https://cao.dolgi.msk.ru/account/1069100936/", 1069100936)</f>
        <v>1069100936</v>
      </c>
      <c r="E1595" s="3">
        <v>11244.46</v>
      </c>
    </row>
    <row r="1596" spans="1:5" x14ac:dyDescent="0.25">
      <c r="A1596" s="3" t="s">
        <v>5</v>
      </c>
      <c r="B1596" s="3" t="s">
        <v>603</v>
      </c>
      <c r="C1596" s="3" t="s">
        <v>153</v>
      </c>
      <c r="D1596" s="4">
        <f>HYPERLINK("https://cao.dolgi.msk.ru/account/1069101082/", 1069101082)</f>
        <v>1069101082</v>
      </c>
      <c r="E1596" s="3">
        <v>12933.93</v>
      </c>
    </row>
    <row r="1597" spans="1:5" x14ac:dyDescent="0.25">
      <c r="A1597" s="3" t="s">
        <v>5</v>
      </c>
      <c r="B1597" s="3" t="s">
        <v>603</v>
      </c>
      <c r="C1597" s="3" t="s">
        <v>153</v>
      </c>
      <c r="D1597" s="4">
        <f>HYPERLINK("https://cao.dolgi.msk.ru/account/1069101103/", 1069101103)</f>
        <v>1069101103</v>
      </c>
      <c r="E1597" s="3">
        <v>41426.51</v>
      </c>
    </row>
    <row r="1598" spans="1:5" x14ac:dyDescent="0.25">
      <c r="A1598" s="3" t="s">
        <v>5</v>
      </c>
      <c r="B1598" s="3" t="s">
        <v>603</v>
      </c>
      <c r="C1598" s="3" t="s">
        <v>168</v>
      </c>
      <c r="D1598" s="4">
        <f>HYPERLINK("https://cao.dolgi.msk.ru/account/1069101285/", 1069101285)</f>
        <v>1069101285</v>
      </c>
      <c r="E1598" s="3">
        <v>65900.14</v>
      </c>
    </row>
    <row r="1599" spans="1:5" x14ac:dyDescent="0.25">
      <c r="A1599" s="3" t="s">
        <v>5</v>
      </c>
      <c r="B1599" s="3" t="s">
        <v>603</v>
      </c>
      <c r="C1599" s="3" t="s">
        <v>170</v>
      </c>
      <c r="D1599" s="4">
        <f>HYPERLINK("https://cao.dolgi.msk.ru/account/1069101306/", 1069101306)</f>
        <v>1069101306</v>
      </c>
      <c r="E1599" s="3">
        <v>31876.35</v>
      </c>
    </row>
    <row r="1600" spans="1:5" x14ac:dyDescent="0.25">
      <c r="A1600" s="3" t="s">
        <v>5</v>
      </c>
      <c r="B1600" s="3" t="s">
        <v>603</v>
      </c>
      <c r="C1600" s="3" t="s">
        <v>182</v>
      </c>
      <c r="D1600" s="4">
        <f>HYPERLINK("https://cao.dolgi.msk.ru/account/1069101429/", 1069101429)</f>
        <v>1069101429</v>
      </c>
      <c r="E1600" s="3">
        <v>17826.189999999999</v>
      </c>
    </row>
    <row r="1601" spans="1:5" x14ac:dyDescent="0.25">
      <c r="A1601" s="3" t="s">
        <v>5</v>
      </c>
      <c r="B1601" s="3" t="s">
        <v>604</v>
      </c>
      <c r="C1601" s="3" t="s">
        <v>9</v>
      </c>
      <c r="D1601" s="4">
        <f>HYPERLINK("https://cao.dolgi.msk.ru/account/1060772605/", 1060772605)</f>
        <v>1060772605</v>
      </c>
      <c r="E1601" s="3">
        <v>28737.48</v>
      </c>
    </row>
    <row r="1602" spans="1:5" x14ac:dyDescent="0.25">
      <c r="A1602" s="3" t="s">
        <v>5</v>
      </c>
      <c r="B1602" s="3" t="s">
        <v>604</v>
      </c>
      <c r="C1602" s="3" t="s">
        <v>89</v>
      </c>
      <c r="D1602" s="4">
        <f>HYPERLINK("https://cao.dolgi.msk.ru/account/1060772613/", 1060772613)</f>
        <v>1060772613</v>
      </c>
      <c r="E1602" s="3">
        <v>12954.16</v>
      </c>
    </row>
    <row r="1603" spans="1:5" x14ac:dyDescent="0.25">
      <c r="A1603" s="3" t="s">
        <v>5</v>
      </c>
      <c r="B1603" s="3" t="s">
        <v>604</v>
      </c>
      <c r="C1603" s="3" t="s">
        <v>105</v>
      </c>
      <c r="D1603" s="4">
        <f>HYPERLINK("https://cao.dolgi.msk.ru/account/1060772621/", 1060772621)</f>
        <v>1060772621</v>
      </c>
      <c r="E1603" s="3">
        <v>45819.519999999997</v>
      </c>
    </row>
    <row r="1604" spans="1:5" x14ac:dyDescent="0.25">
      <c r="A1604" s="3" t="s">
        <v>5</v>
      </c>
      <c r="B1604" s="3" t="s">
        <v>605</v>
      </c>
      <c r="C1604" s="3" t="s">
        <v>105</v>
      </c>
      <c r="D1604" s="4">
        <f>HYPERLINK("https://cao.dolgi.msk.ru/account/1060611166/", 1060611166)</f>
        <v>1060611166</v>
      </c>
      <c r="E1604" s="3">
        <v>25852.04</v>
      </c>
    </row>
    <row r="1605" spans="1:5" x14ac:dyDescent="0.25">
      <c r="A1605" s="3" t="s">
        <v>5</v>
      </c>
      <c r="B1605" s="3" t="s">
        <v>605</v>
      </c>
      <c r="C1605" s="3" t="s">
        <v>12</v>
      </c>
      <c r="D1605" s="4">
        <f>HYPERLINK("https://cao.dolgi.msk.ru/account/1060611377/", 1060611377)</f>
        <v>1060611377</v>
      </c>
      <c r="E1605" s="3">
        <v>5570.42</v>
      </c>
    </row>
    <row r="1606" spans="1:5" x14ac:dyDescent="0.25">
      <c r="A1606" s="3" t="s">
        <v>5</v>
      </c>
      <c r="B1606" s="3" t="s">
        <v>605</v>
      </c>
      <c r="C1606" s="3" t="s">
        <v>13</v>
      </c>
      <c r="D1606" s="4">
        <f>HYPERLINK("https://cao.dolgi.msk.ru/account/1060611385/", 1060611385)</f>
        <v>1060611385</v>
      </c>
      <c r="E1606" s="3">
        <v>167085.75</v>
      </c>
    </row>
    <row r="1607" spans="1:5" x14ac:dyDescent="0.25">
      <c r="A1607" s="3" t="s">
        <v>5</v>
      </c>
      <c r="B1607" s="3" t="s">
        <v>605</v>
      </c>
      <c r="C1607" s="3" t="s">
        <v>50</v>
      </c>
      <c r="D1607" s="4">
        <f>HYPERLINK("https://cao.dolgi.msk.ru/account/1060611828/", 1060611828)</f>
        <v>1060611828</v>
      </c>
      <c r="E1607" s="3">
        <v>72215.73</v>
      </c>
    </row>
    <row r="1608" spans="1:5" x14ac:dyDescent="0.25">
      <c r="A1608" s="3" t="s">
        <v>5</v>
      </c>
      <c r="B1608" s="3" t="s">
        <v>605</v>
      </c>
      <c r="C1608" s="3" t="s">
        <v>53</v>
      </c>
      <c r="D1608" s="4">
        <f>HYPERLINK("https://cao.dolgi.msk.ru/account/1060611844/", 1060611844)</f>
        <v>1060611844</v>
      </c>
      <c r="E1608" s="3">
        <v>135685.75</v>
      </c>
    </row>
    <row r="1609" spans="1:5" x14ac:dyDescent="0.25">
      <c r="A1609" s="3" t="s">
        <v>5</v>
      </c>
      <c r="B1609" s="3" t="s">
        <v>606</v>
      </c>
      <c r="C1609" s="3" t="s">
        <v>135</v>
      </c>
      <c r="D1609" s="4">
        <f>HYPERLINK("https://cao.dolgi.msk.ru/account/1060219172/", 1060219172)</f>
        <v>1060219172</v>
      </c>
      <c r="E1609" s="3">
        <v>5364.48</v>
      </c>
    </row>
    <row r="1610" spans="1:5" x14ac:dyDescent="0.25">
      <c r="A1610" s="3" t="s">
        <v>5</v>
      </c>
      <c r="B1610" s="3" t="s">
        <v>606</v>
      </c>
      <c r="C1610" s="3" t="s">
        <v>43</v>
      </c>
      <c r="D1610" s="4">
        <f>HYPERLINK("https://cao.dolgi.msk.ru/account/1060219682/", 1060219682)</f>
        <v>1060219682</v>
      </c>
      <c r="E1610" s="3">
        <v>6884.37</v>
      </c>
    </row>
    <row r="1611" spans="1:5" x14ac:dyDescent="0.25">
      <c r="A1611" s="3" t="s">
        <v>5</v>
      </c>
      <c r="B1611" s="3" t="s">
        <v>606</v>
      </c>
      <c r="C1611" s="3" t="s">
        <v>48</v>
      </c>
      <c r="D1611" s="4">
        <f>HYPERLINK("https://cao.dolgi.msk.ru/account/1060219754/", 1060219754)</f>
        <v>1060219754</v>
      </c>
      <c r="E1611" s="3">
        <v>426162.28</v>
      </c>
    </row>
    <row r="1612" spans="1:5" x14ac:dyDescent="0.25">
      <c r="A1612" s="3" t="s">
        <v>5</v>
      </c>
      <c r="B1612" s="3" t="s">
        <v>607</v>
      </c>
      <c r="C1612" s="3" t="s">
        <v>8</v>
      </c>
      <c r="D1612" s="4">
        <f>HYPERLINK("https://cao.dolgi.msk.ru/account/1060219797/", 1060219797)</f>
        <v>1060219797</v>
      </c>
      <c r="E1612" s="3">
        <v>7541.64</v>
      </c>
    </row>
    <row r="1613" spans="1:5" x14ac:dyDescent="0.25">
      <c r="A1613" s="3" t="s">
        <v>5</v>
      </c>
      <c r="B1613" s="3" t="s">
        <v>607</v>
      </c>
      <c r="C1613" s="3" t="s">
        <v>130</v>
      </c>
      <c r="D1613" s="4">
        <f>HYPERLINK("https://cao.dolgi.msk.ru/account/1060219834/", 1060219834)</f>
        <v>1060219834</v>
      </c>
      <c r="E1613" s="3">
        <v>6220.8</v>
      </c>
    </row>
    <row r="1614" spans="1:5" x14ac:dyDescent="0.25">
      <c r="A1614" s="3" t="s">
        <v>5</v>
      </c>
      <c r="B1614" s="3" t="s">
        <v>607</v>
      </c>
      <c r="C1614" s="3" t="s">
        <v>142</v>
      </c>
      <c r="D1614" s="4">
        <f>HYPERLINK("https://cao.dolgi.msk.ru/account/1060220026/", 1060220026)</f>
        <v>1060220026</v>
      </c>
      <c r="E1614" s="3">
        <v>12694.79</v>
      </c>
    </row>
    <row r="1615" spans="1:5" x14ac:dyDescent="0.25">
      <c r="A1615" s="3" t="s">
        <v>5</v>
      </c>
      <c r="B1615" s="3" t="s">
        <v>607</v>
      </c>
      <c r="C1615" s="3" t="s">
        <v>23</v>
      </c>
      <c r="D1615" s="4">
        <f>HYPERLINK("https://cao.dolgi.msk.ru/account/1060220229/", 1060220229)</f>
        <v>1060220229</v>
      </c>
      <c r="E1615" s="3">
        <v>9796.0499999999993</v>
      </c>
    </row>
    <row r="1616" spans="1:5" x14ac:dyDescent="0.25">
      <c r="A1616" s="3" t="s">
        <v>5</v>
      </c>
      <c r="B1616" s="3" t="s">
        <v>607</v>
      </c>
      <c r="C1616" s="3" t="s">
        <v>27</v>
      </c>
      <c r="D1616" s="4">
        <f>HYPERLINK("https://cao.dolgi.msk.ru/account/1060220261/", 1060220261)</f>
        <v>1060220261</v>
      </c>
      <c r="E1616" s="3">
        <v>275802.84999999998</v>
      </c>
    </row>
    <row r="1617" spans="1:5" x14ac:dyDescent="0.25">
      <c r="A1617" s="3" t="s">
        <v>5</v>
      </c>
      <c r="B1617" s="3" t="s">
        <v>607</v>
      </c>
      <c r="C1617" s="3" t="s">
        <v>45</v>
      </c>
      <c r="D1617" s="4">
        <f>HYPERLINK("https://cao.dolgi.msk.ru/account/1060220456/", 1060220456)</f>
        <v>1060220456</v>
      </c>
      <c r="E1617" s="3">
        <v>93449.88</v>
      </c>
    </row>
    <row r="1618" spans="1:5" x14ac:dyDescent="0.25">
      <c r="A1618" s="3" t="s">
        <v>5</v>
      </c>
      <c r="B1618" s="3" t="s">
        <v>608</v>
      </c>
      <c r="C1618" s="3" t="s">
        <v>142</v>
      </c>
      <c r="D1618" s="4">
        <f>HYPERLINK("https://cao.dolgi.msk.ru/account/1060347641/", 1060347641)</f>
        <v>1060347641</v>
      </c>
      <c r="E1618" s="3">
        <v>5569.54</v>
      </c>
    </row>
    <row r="1619" spans="1:5" x14ac:dyDescent="0.25">
      <c r="A1619" s="3" t="s">
        <v>5</v>
      </c>
      <c r="B1619" s="3" t="s">
        <v>608</v>
      </c>
      <c r="C1619" s="3" t="s">
        <v>143</v>
      </c>
      <c r="D1619" s="4">
        <f>HYPERLINK("https://cao.dolgi.msk.ru/account/1060347668/", 1060347668)</f>
        <v>1060347668</v>
      </c>
      <c r="E1619" s="3">
        <v>29541.02</v>
      </c>
    </row>
    <row r="1620" spans="1:5" x14ac:dyDescent="0.25">
      <c r="A1620" s="3" t="s">
        <v>5</v>
      </c>
      <c r="B1620" s="3" t="s">
        <v>609</v>
      </c>
      <c r="C1620" s="3" t="s">
        <v>30</v>
      </c>
      <c r="D1620" s="4">
        <f>HYPERLINK("https://cao.dolgi.msk.ru/account/1060348425/", 1060348425)</f>
        <v>1060348425</v>
      </c>
      <c r="E1620" s="3">
        <v>132691.65</v>
      </c>
    </row>
    <row r="1621" spans="1:5" x14ac:dyDescent="0.25">
      <c r="A1621" s="3" t="s">
        <v>5</v>
      </c>
      <c r="B1621" s="3" t="s">
        <v>609</v>
      </c>
      <c r="C1621" s="3" t="s">
        <v>132</v>
      </c>
      <c r="D1621" s="4">
        <f>HYPERLINK("https://cao.dolgi.msk.ru/account/1060348492/", 1060348492)</f>
        <v>1060348492</v>
      </c>
      <c r="E1621" s="3">
        <v>16870.04</v>
      </c>
    </row>
    <row r="1622" spans="1:5" x14ac:dyDescent="0.25">
      <c r="A1622" s="3" t="s">
        <v>5</v>
      </c>
      <c r="B1622" s="3" t="s">
        <v>609</v>
      </c>
      <c r="C1622" s="3" t="s">
        <v>138</v>
      </c>
      <c r="D1622" s="4">
        <f>HYPERLINK("https://cao.dolgi.msk.ru/account/1060348564/", 1060348564)</f>
        <v>1060348564</v>
      </c>
      <c r="E1622" s="3">
        <v>7733.13</v>
      </c>
    </row>
    <row r="1623" spans="1:5" x14ac:dyDescent="0.25">
      <c r="A1623" s="3" t="s">
        <v>5</v>
      </c>
      <c r="B1623" s="3" t="s">
        <v>609</v>
      </c>
      <c r="C1623" s="3" t="s">
        <v>142</v>
      </c>
      <c r="D1623" s="4">
        <f>HYPERLINK("https://cao.dolgi.msk.ru/account/1060348628/", 1060348628)</f>
        <v>1060348628</v>
      </c>
      <c r="E1623" s="3">
        <v>37544.620000000003</v>
      </c>
    </row>
    <row r="1624" spans="1:5" x14ac:dyDescent="0.25">
      <c r="A1624" s="3" t="s">
        <v>5</v>
      </c>
      <c r="B1624" s="3" t="s">
        <v>609</v>
      </c>
      <c r="C1624" s="3" t="s">
        <v>23</v>
      </c>
      <c r="D1624" s="4">
        <f>HYPERLINK("https://cao.dolgi.msk.ru/account/1060348804/", 1060348804)</f>
        <v>1060348804</v>
      </c>
      <c r="E1624" s="3">
        <v>4130.82</v>
      </c>
    </row>
    <row r="1625" spans="1:5" x14ac:dyDescent="0.25">
      <c r="A1625" s="3" t="s">
        <v>5</v>
      </c>
      <c r="B1625" s="3" t="s">
        <v>609</v>
      </c>
      <c r="C1625" s="3" t="s">
        <v>31</v>
      </c>
      <c r="D1625" s="4">
        <f>HYPERLINK("https://cao.dolgi.msk.ru/account/1060348898/", 1060348898)</f>
        <v>1060348898</v>
      </c>
      <c r="E1625" s="3">
        <v>22244.880000000001</v>
      </c>
    </row>
    <row r="1626" spans="1:5" x14ac:dyDescent="0.25">
      <c r="A1626" s="3" t="s">
        <v>5</v>
      </c>
      <c r="B1626" s="3" t="s">
        <v>609</v>
      </c>
      <c r="C1626" s="3" t="s">
        <v>37</v>
      </c>
      <c r="D1626" s="4">
        <f>HYPERLINK("https://cao.dolgi.msk.ru/account/1060348978/", 1060348978)</f>
        <v>1060348978</v>
      </c>
      <c r="E1626" s="3">
        <v>16353.3</v>
      </c>
    </row>
    <row r="1627" spans="1:5" x14ac:dyDescent="0.25">
      <c r="A1627" s="3" t="s">
        <v>5</v>
      </c>
      <c r="B1627" s="3" t="s">
        <v>609</v>
      </c>
      <c r="C1627" s="3" t="s">
        <v>48</v>
      </c>
      <c r="D1627" s="4">
        <f>HYPERLINK("https://cao.dolgi.msk.ru/account/1060349102/", 1060349102)</f>
        <v>1060349102</v>
      </c>
      <c r="E1627" s="3">
        <v>20913.66</v>
      </c>
    </row>
    <row r="1628" spans="1:5" x14ac:dyDescent="0.25">
      <c r="A1628" s="3" t="s">
        <v>5</v>
      </c>
      <c r="B1628" s="3" t="s">
        <v>609</v>
      </c>
      <c r="C1628" s="3" t="s">
        <v>75</v>
      </c>
      <c r="D1628" s="4">
        <f>HYPERLINK("https://cao.dolgi.msk.ru/account/1060896149/", 1060896149)</f>
        <v>1060896149</v>
      </c>
      <c r="E1628" s="3">
        <v>1601.31</v>
      </c>
    </row>
    <row r="1629" spans="1:5" x14ac:dyDescent="0.25">
      <c r="A1629" s="3" t="s">
        <v>5</v>
      </c>
      <c r="B1629" s="3" t="s">
        <v>610</v>
      </c>
      <c r="C1629" s="3" t="s">
        <v>8</v>
      </c>
      <c r="D1629" s="4">
        <f>HYPERLINK("https://cao.dolgi.msk.ru/account/1060349436/", 1060349436)</f>
        <v>1060349436</v>
      </c>
      <c r="E1629" s="3">
        <v>12933.21</v>
      </c>
    </row>
    <row r="1630" spans="1:5" x14ac:dyDescent="0.25">
      <c r="A1630" s="3" t="s">
        <v>5</v>
      </c>
      <c r="B1630" s="3" t="s">
        <v>610</v>
      </c>
      <c r="C1630" s="3" t="s">
        <v>11</v>
      </c>
      <c r="D1630" s="4">
        <f>HYPERLINK("https://cao.dolgi.msk.ru/account/1060349698/", 1060349698)</f>
        <v>1060349698</v>
      </c>
      <c r="E1630" s="3">
        <v>7165.11</v>
      </c>
    </row>
    <row r="1631" spans="1:5" x14ac:dyDescent="0.25">
      <c r="A1631" s="3" t="s">
        <v>5</v>
      </c>
      <c r="B1631" s="3" t="s">
        <v>610</v>
      </c>
      <c r="C1631" s="3" t="s">
        <v>12</v>
      </c>
      <c r="D1631" s="4">
        <f>HYPERLINK("https://cao.dolgi.msk.ru/account/1060349719/", 1060349719)</f>
        <v>1060349719</v>
      </c>
      <c r="E1631" s="3">
        <v>4018.99</v>
      </c>
    </row>
    <row r="1632" spans="1:5" x14ac:dyDescent="0.25">
      <c r="A1632" s="3" t="s">
        <v>5</v>
      </c>
      <c r="B1632" s="3" t="s">
        <v>610</v>
      </c>
      <c r="C1632" s="3" t="s">
        <v>18</v>
      </c>
      <c r="D1632" s="4">
        <f>HYPERLINK("https://cao.dolgi.msk.ru/account/1060349786/", 1060349786)</f>
        <v>1060349786</v>
      </c>
      <c r="E1632" s="3">
        <v>7417.31</v>
      </c>
    </row>
    <row r="1633" spans="1:5" x14ac:dyDescent="0.25">
      <c r="A1633" s="3" t="s">
        <v>5</v>
      </c>
      <c r="B1633" s="3" t="s">
        <v>610</v>
      </c>
      <c r="C1633" s="3" t="s">
        <v>21</v>
      </c>
      <c r="D1633" s="4">
        <f>HYPERLINK("https://cao.dolgi.msk.ru/account/1060349815/", 1060349815)</f>
        <v>1060349815</v>
      </c>
      <c r="E1633" s="3">
        <v>14864.61</v>
      </c>
    </row>
    <row r="1634" spans="1:5" x14ac:dyDescent="0.25">
      <c r="A1634" s="3" t="s">
        <v>5</v>
      </c>
      <c r="B1634" s="3" t="s">
        <v>610</v>
      </c>
      <c r="C1634" s="3" t="s">
        <v>41</v>
      </c>
      <c r="D1634" s="4">
        <f>HYPERLINK("https://cao.dolgi.msk.ru/account/1060350058/", 1060350058)</f>
        <v>1060350058</v>
      </c>
      <c r="E1634" s="3">
        <v>26005.9</v>
      </c>
    </row>
    <row r="1635" spans="1:5" x14ac:dyDescent="0.25">
      <c r="A1635" s="3" t="s">
        <v>5</v>
      </c>
      <c r="B1635" s="3" t="s">
        <v>610</v>
      </c>
      <c r="C1635" s="3" t="s">
        <v>46</v>
      </c>
      <c r="D1635" s="4">
        <f>HYPERLINK("https://cao.dolgi.msk.ru/account/1060350111/", 1060350111)</f>
        <v>1060350111</v>
      </c>
      <c r="E1635" s="3">
        <v>8106.86</v>
      </c>
    </row>
    <row r="1636" spans="1:5" x14ac:dyDescent="0.25">
      <c r="A1636" s="3" t="s">
        <v>5</v>
      </c>
      <c r="B1636" s="3" t="s">
        <v>610</v>
      </c>
      <c r="C1636" s="3" t="s">
        <v>49</v>
      </c>
      <c r="D1636" s="4">
        <f>HYPERLINK("https://cao.dolgi.msk.ru/account/1060350154/", 1060350154)</f>
        <v>1060350154</v>
      </c>
      <c r="E1636" s="3">
        <v>42890.98</v>
      </c>
    </row>
    <row r="1637" spans="1:5" x14ac:dyDescent="0.25">
      <c r="A1637" s="3" t="s">
        <v>5</v>
      </c>
      <c r="B1637" s="3" t="s">
        <v>610</v>
      </c>
      <c r="C1637" s="3" t="s">
        <v>56</v>
      </c>
      <c r="D1637" s="4">
        <f>HYPERLINK("https://cao.dolgi.msk.ru/account/1060350234/", 1060350234)</f>
        <v>1060350234</v>
      </c>
      <c r="E1637" s="3">
        <v>52229.440000000002</v>
      </c>
    </row>
    <row r="1638" spans="1:5" x14ac:dyDescent="0.25">
      <c r="A1638" s="3" t="s">
        <v>5</v>
      </c>
      <c r="B1638" s="3" t="s">
        <v>610</v>
      </c>
      <c r="C1638" s="3" t="s">
        <v>57</v>
      </c>
      <c r="D1638" s="4">
        <f>HYPERLINK("https://cao.dolgi.msk.ru/account/1060350242/", 1060350242)</f>
        <v>1060350242</v>
      </c>
      <c r="E1638" s="3">
        <v>4392.9799999999996</v>
      </c>
    </row>
    <row r="1639" spans="1:5" x14ac:dyDescent="0.25">
      <c r="A1639" s="3" t="s">
        <v>5</v>
      </c>
      <c r="B1639" s="3" t="s">
        <v>610</v>
      </c>
      <c r="C1639" s="3" t="s">
        <v>79</v>
      </c>
      <c r="D1639" s="4">
        <f>HYPERLINK("https://cao.dolgi.msk.ru/account/1060350453/", 1060350453)</f>
        <v>1060350453</v>
      </c>
      <c r="E1639" s="3">
        <v>12056.1</v>
      </c>
    </row>
    <row r="1640" spans="1:5" x14ac:dyDescent="0.25">
      <c r="A1640" s="3" t="s">
        <v>5</v>
      </c>
      <c r="B1640" s="3" t="s">
        <v>611</v>
      </c>
      <c r="C1640" s="3" t="s">
        <v>133</v>
      </c>
      <c r="D1640" s="4">
        <f>HYPERLINK("https://cao.dolgi.msk.ru/account/1060073652/", 1060073652)</f>
        <v>1060073652</v>
      </c>
      <c r="E1640" s="3">
        <v>21075.599999999999</v>
      </c>
    </row>
    <row r="1641" spans="1:5" x14ac:dyDescent="0.25">
      <c r="A1641" s="3" t="s">
        <v>5</v>
      </c>
      <c r="B1641" s="3" t="s">
        <v>611</v>
      </c>
      <c r="C1641" s="3" t="s">
        <v>11</v>
      </c>
      <c r="D1641" s="4">
        <f>HYPERLINK("https://cao.dolgi.msk.ru/account/1060073804/", 1060073804)</f>
        <v>1060073804</v>
      </c>
      <c r="E1641" s="3">
        <v>5256.25</v>
      </c>
    </row>
    <row r="1642" spans="1:5" x14ac:dyDescent="0.25">
      <c r="A1642" s="3" t="s">
        <v>5</v>
      </c>
      <c r="B1642" s="3" t="s">
        <v>611</v>
      </c>
      <c r="C1642" s="3" t="s">
        <v>43</v>
      </c>
      <c r="D1642" s="4">
        <f>HYPERLINK("https://cao.dolgi.msk.ru/account/1060074188/", 1060074188)</f>
        <v>1060074188</v>
      </c>
      <c r="E1642" s="3">
        <v>10436.48</v>
      </c>
    </row>
    <row r="1643" spans="1:5" x14ac:dyDescent="0.25">
      <c r="A1643" s="3" t="s">
        <v>5</v>
      </c>
      <c r="B1643" s="3" t="s">
        <v>611</v>
      </c>
      <c r="C1643" s="3" t="s">
        <v>48</v>
      </c>
      <c r="D1643" s="4">
        <f>HYPERLINK("https://cao.dolgi.msk.ru/account/1060074233/", 1060074233)</f>
        <v>1060074233</v>
      </c>
      <c r="E1643" s="3">
        <v>266768.78999999998</v>
      </c>
    </row>
    <row r="1644" spans="1:5" x14ac:dyDescent="0.25">
      <c r="A1644" s="3" t="s">
        <v>5</v>
      </c>
      <c r="B1644" s="3" t="s">
        <v>611</v>
      </c>
      <c r="C1644" s="3" t="s">
        <v>57</v>
      </c>
      <c r="D1644" s="4">
        <f>HYPERLINK("https://cao.dolgi.msk.ru/account/1060078453/", 1060078453)</f>
        <v>1060078453</v>
      </c>
      <c r="E1644" s="3">
        <v>365637.12</v>
      </c>
    </row>
    <row r="1645" spans="1:5" x14ac:dyDescent="0.25">
      <c r="A1645" s="3" t="s">
        <v>5</v>
      </c>
      <c r="B1645" s="3" t="s">
        <v>611</v>
      </c>
      <c r="C1645" s="3" t="s">
        <v>64</v>
      </c>
      <c r="D1645" s="4">
        <f>HYPERLINK("https://cao.dolgi.msk.ru/account/1060074401/", 1060074401)</f>
        <v>1060074401</v>
      </c>
      <c r="E1645" s="3">
        <v>36283.82</v>
      </c>
    </row>
    <row r="1646" spans="1:5" x14ac:dyDescent="0.25">
      <c r="A1646" s="3" t="s">
        <v>5</v>
      </c>
      <c r="B1646" s="3" t="s">
        <v>611</v>
      </c>
      <c r="C1646" s="3" t="s">
        <v>77</v>
      </c>
      <c r="D1646" s="4">
        <f>HYPERLINK("https://cao.dolgi.msk.ru/account/1060074516/", 1060074516)</f>
        <v>1060074516</v>
      </c>
      <c r="E1646" s="3">
        <v>4887.5</v>
      </c>
    </row>
    <row r="1647" spans="1:5" x14ac:dyDescent="0.25">
      <c r="A1647" s="3" t="s">
        <v>5</v>
      </c>
      <c r="B1647" s="3" t="s">
        <v>611</v>
      </c>
      <c r="C1647" s="3" t="s">
        <v>79</v>
      </c>
      <c r="D1647" s="4">
        <f>HYPERLINK("https://cao.dolgi.msk.ru/account/1060074567/", 1060074567)</f>
        <v>1060074567</v>
      </c>
      <c r="E1647" s="3">
        <v>5607.62</v>
      </c>
    </row>
    <row r="1648" spans="1:5" x14ac:dyDescent="0.25">
      <c r="A1648" s="3" t="s">
        <v>5</v>
      </c>
      <c r="B1648" s="3" t="s">
        <v>611</v>
      </c>
      <c r="C1648" s="3" t="s">
        <v>83</v>
      </c>
      <c r="D1648" s="4">
        <f>HYPERLINK("https://cao.dolgi.msk.ru/account/1060074604/", 1060074604)</f>
        <v>1060074604</v>
      </c>
      <c r="E1648" s="3">
        <v>8502.81</v>
      </c>
    </row>
    <row r="1649" spans="1:5" x14ac:dyDescent="0.25">
      <c r="A1649" s="3" t="s">
        <v>5</v>
      </c>
      <c r="B1649" s="3" t="s">
        <v>611</v>
      </c>
      <c r="C1649" s="3" t="s">
        <v>94</v>
      </c>
      <c r="D1649" s="4">
        <f>HYPERLINK("https://cao.dolgi.msk.ru/account/1060074743/", 1060074743)</f>
        <v>1060074743</v>
      </c>
      <c r="E1649" s="3">
        <v>16407.43</v>
      </c>
    </row>
    <row r="1650" spans="1:5" x14ac:dyDescent="0.25">
      <c r="A1650" s="3" t="s">
        <v>5</v>
      </c>
      <c r="B1650" s="3" t="s">
        <v>611</v>
      </c>
      <c r="C1650" s="3" t="s">
        <v>115</v>
      </c>
      <c r="D1650" s="4">
        <f>HYPERLINK("https://cao.dolgi.msk.ru/account/1060075033/", 1060075033)</f>
        <v>1060075033</v>
      </c>
      <c r="E1650" s="3">
        <v>21906.05</v>
      </c>
    </row>
    <row r="1651" spans="1:5" x14ac:dyDescent="0.25">
      <c r="A1651" s="3" t="s">
        <v>5</v>
      </c>
      <c r="B1651" s="3" t="s">
        <v>611</v>
      </c>
      <c r="C1651" s="3" t="s">
        <v>153</v>
      </c>
      <c r="D1651" s="4">
        <f>HYPERLINK("https://cao.dolgi.msk.ru/account/1060075084/", 1060075084)</f>
        <v>1060075084</v>
      </c>
      <c r="E1651" s="3">
        <v>25187.17</v>
      </c>
    </row>
    <row r="1652" spans="1:5" x14ac:dyDescent="0.25">
      <c r="A1652" s="3" t="s">
        <v>5</v>
      </c>
      <c r="B1652" s="3" t="s">
        <v>611</v>
      </c>
      <c r="C1652" s="3" t="s">
        <v>175</v>
      </c>
      <c r="D1652" s="4">
        <f>HYPERLINK("https://cao.dolgi.msk.ru/account/1060075367/", 1060075367)</f>
        <v>1060075367</v>
      </c>
      <c r="E1652" s="3">
        <v>6682.72</v>
      </c>
    </row>
    <row r="1653" spans="1:5" x14ac:dyDescent="0.25">
      <c r="A1653" s="3" t="s">
        <v>5</v>
      </c>
      <c r="B1653" s="3" t="s">
        <v>611</v>
      </c>
      <c r="C1653" s="3" t="s">
        <v>176</v>
      </c>
      <c r="D1653" s="4">
        <f>HYPERLINK("https://cao.dolgi.msk.ru/account/1060075375/", 1060075375)</f>
        <v>1060075375</v>
      </c>
      <c r="E1653" s="3">
        <v>23689.21</v>
      </c>
    </row>
    <row r="1654" spans="1:5" x14ac:dyDescent="0.25">
      <c r="A1654" s="3" t="s">
        <v>5</v>
      </c>
      <c r="B1654" s="3" t="s">
        <v>611</v>
      </c>
      <c r="C1654" s="3" t="s">
        <v>187</v>
      </c>
      <c r="D1654" s="4">
        <f>HYPERLINK("https://cao.dolgi.msk.ru/account/1060075527/", 1060075527)</f>
        <v>1060075527</v>
      </c>
      <c r="E1654" s="3">
        <v>19387.68</v>
      </c>
    </row>
    <row r="1655" spans="1:5" x14ac:dyDescent="0.25">
      <c r="A1655" s="3" t="s">
        <v>5</v>
      </c>
      <c r="B1655" s="3" t="s">
        <v>611</v>
      </c>
      <c r="C1655" s="3" t="s">
        <v>213</v>
      </c>
      <c r="D1655" s="4">
        <f>HYPERLINK("https://cao.dolgi.msk.ru/account/1060075818/", 1060075818)</f>
        <v>1060075818</v>
      </c>
      <c r="E1655" s="3">
        <v>17023.32</v>
      </c>
    </row>
    <row r="1656" spans="1:5" x14ac:dyDescent="0.25">
      <c r="A1656" s="3" t="s">
        <v>5</v>
      </c>
      <c r="B1656" s="3" t="s">
        <v>611</v>
      </c>
      <c r="C1656" s="3" t="s">
        <v>219</v>
      </c>
      <c r="D1656" s="4">
        <f>HYPERLINK("https://cao.dolgi.msk.ru/account/1060075877/", 1060075877)</f>
        <v>1060075877</v>
      </c>
      <c r="E1656" s="3">
        <v>11116.11</v>
      </c>
    </row>
    <row r="1657" spans="1:5" x14ac:dyDescent="0.25">
      <c r="A1657" s="3" t="s">
        <v>5</v>
      </c>
      <c r="B1657" s="3" t="s">
        <v>612</v>
      </c>
      <c r="C1657" s="3" t="s">
        <v>132</v>
      </c>
      <c r="D1657" s="4">
        <f>HYPERLINK("https://cao.dolgi.msk.ru/account/1060352475/", 1060352475)</f>
        <v>1060352475</v>
      </c>
      <c r="E1657" s="3">
        <v>21523.51</v>
      </c>
    </row>
    <row r="1658" spans="1:5" x14ac:dyDescent="0.25">
      <c r="A1658" s="3" t="s">
        <v>5</v>
      </c>
      <c r="B1658" s="3" t="s">
        <v>612</v>
      </c>
      <c r="C1658" s="3" t="s">
        <v>16</v>
      </c>
      <c r="D1658" s="4">
        <f>HYPERLINK("https://cao.dolgi.msk.ru/account/1060352707/", 1060352707)</f>
        <v>1060352707</v>
      </c>
      <c r="E1658" s="3">
        <v>243184.66</v>
      </c>
    </row>
    <row r="1659" spans="1:5" x14ac:dyDescent="0.25">
      <c r="A1659" s="3" t="s">
        <v>5</v>
      </c>
      <c r="B1659" s="3" t="s">
        <v>612</v>
      </c>
      <c r="C1659" s="3" t="s">
        <v>18</v>
      </c>
      <c r="D1659" s="4">
        <f>HYPERLINK("https://cao.dolgi.msk.ru/account/1060352723/", 1060352723)</f>
        <v>1060352723</v>
      </c>
      <c r="E1659" s="3">
        <v>233856.97</v>
      </c>
    </row>
    <row r="1660" spans="1:5" x14ac:dyDescent="0.25">
      <c r="A1660" s="3" t="s">
        <v>5</v>
      </c>
      <c r="B1660" s="3" t="s">
        <v>612</v>
      </c>
      <c r="C1660" s="3" t="s">
        <v>31</v>
      </c>
      <c r="D1660" s="4">
        <f>HYPERLINK("https://cao.dolgi.msk.ru/account/1060352889/", 1060352889)</f>
        <v>1060352889</v>
      </c>
      <c r="E1660" s="3">
        <v>20962.46</v>
      </c>
    </row>
    <row r="1661" spans="1:5" x14ac:dyDescent="0.25">
      <c r="A1661" s="3" t="s">
        <v>5</v>
      </c>
      <c r="B1661" s="3" t="s">
        <v>613</v>
      </c>
      <c r="C1661" s="3" t="s">
        <v>30</v>
      </c>
      <c r="D1661" s="4">
        <f>HYPERLINK("https://cao.dolgi.msk.ru/account/1060088301/", 1060088301)</f>
        <v>1060088301</v>
      </c>
      <c r="E1661" s="3">
        <v>5971.4</v>
      </c>
    </row>
    <row r="1662" spans="1:5" x14ac:dyDescent="0.25">
      <c r="A1662" s="3" t="s">
        <v>5</v>
      </c>
      <c r="B1662" s="3" t="s">
        <v>613</v>
      </c>
      <c r="C1662" s="3" t="s">
        <v>136</v>
      </c>
      <c r="D1662" s="4">
        <f>HYPERLINK("https://cao.dolgi.msk.ru/account/1060088424/", 1060088424)</f>
        <v>1060088424</v>
      </c>
      <c r="E1662" s="3">
        <v>96987.68</v>
      </c>
    </row>
    <row r="1663" spans="1:5" x14ac:dyDescent="0.25">
      <c r="A1663" s="3" t="s">
        <v>5</v>
      </c>
      <c r="B1663" s="3" t="s">
        <v>613</v>
      </c>
      <c r="C1663" s="3" t="s">
        <v>27</v>
      </c>
      <c r="D1663" s="4">
        <f>HYPERLINK("https://cao.dolgi.msk.ru/account/1060779401/", 1060779401)</f>
        <v>1060779401</v>
      </c>
      <c r="E1663" s="3">
        <v>61336.03</v>
      </c>
    </row>
    <row r="1664" spans="1:5" x14ac:dyDescent="0.25">
      <c r="A1664" s="3" t="s">
        <v>5</v>
      </c>
      <c r="B1664" s="3" t="s">
        <v>613</v>
      </c>
      <c r="C1664" s="3" t="s">
        <v>33</v>
      </c>
      <c r="D1664" s="4">
        <f>HYPERLINK("https://cao.dolgi.msk.ru/account/1060088803/", 1060088803)</f>
        <v>1060088803</v>
      </c>
      <c r="E1664" s="3">
        <v>21699.09</v>
      </c>
    </row>
    <row r="1665" spans="1:5" x14ac:dyDescent="0.25">
      <c r="A1665" s="3" t="s">
        <v>5</v>
      </c>
      <c r="B1665" s="3" t="s">
        <v>613</v>
      </c>
      <c r="C1665" s="3" t="s">
        <v>35</v>
      </c>
      <c r="D1665" s="4">
        <f>HYPERLINK("https://cao.dolgi.msk.ru/account/1060088838/", 1060088838)</f>
        <v>1060088838</v>
      </c>
      <c r="E1665" s="3">
        <v>3426.22</v>
      </c>
    </row>
    <row r="1666" spans="1:5" x14ac:dyDescent="0.25">
      <c r="A1666" s="3" t="s">
        <v>5</v>
      </c>
      <c r="B1666" s="3" t="s">
        <v>613</v>
      </c>
      <c r="C1666" s="3" t="s">
        <v>40</v>
      </c>
      <c r="D1666" s="4">
        <f>HYPERLINK("https://cao.dolgi.msk.ru/account/1060088897/", 1060088897)</f>
        <v>1060088897</v>
      </c>
      <c r="E1666" s="3">
        <v>36002.03</v>
      </c>
    </row>
    <row r="1667" spans="1:5" x14ac:dyDescent="0.25">
      <c r="A1667" s="3" t="s">
        <v>5</v>
      </c>
      <c r="B1667" s="3" t="s">
        <v>613</v>
      </c>
      <c r="C1667" s="3" t="s">
        <v>46</v>
      </c>
      <c r="D1667" s="4">
        <f>HYPERLINK("https://cao.dolgi.msk.ru/account/1060088977/", 1060088977)</f>
        <v>1060088977</v>
      </c>
      <c r="E1667" s="3">
        <v>16415.12</v>
      </c>
    </row>
    <row r="1668" spans="1:5" x14ac:dyDescent="0.25">
      <c r="A1668" s="3" t="s">
        <v>5</v>
      </c>
      <c r="B1668" s="3" t="s">
        <v>613</v>
      </c>
      <c r="C1668" s="3" t="s">
        <v>53</v>
      </c>
      <c r="D1668" s="4">
        <f>HYPERLINK("https://cao.dolgi.msk.ru/account/1060089048/", 1060089048)</f>
        <v>1060089048</v>
      </c>
      <c r="E1668" s="3">
        <v>15231.99</v>
      </c>
    </row>
    <row r="1669" spans="1:5" x14ac:dyDescent="0.25">
      <c r="A1669" s="3" t="s">
        <v>5</v>
      </c>
      <c r="B1669" s="3" t="s">
        <v>613</v>
      </c>
      <c r="C1669" s="3" t="s">
        <v>61</v>
      </c>
      <c r="D1669" s="4">
        <f>HYPERLINK("https://cao.dolgi.msk.ru/account/1060773632/", 1060773632)</f>
        <v>1060773632</v>
      </c>
      <c r="E1669" s="3">
        <v>9447.9699999999993</v>
      </c>
    </row>
    <row r="1670" spans="1:5" x14ac:dyDescent="0.25">
      <c r="A1670" s="3" t="s">
        <v>5</v>
      </c>
      <c r="B1670" s="3" t="s">
        <v>613</v>
      </c>
      <c r="C1670" s="3" t="s">
        <v>78</v>
      </c>
      <c r="D1670" s="4">
        <f>HYPERLINK("https://cao.dolgi.msk.ru/account/1060089283/", 1060089283)</f>
        <v>1060089283</v>
      </c>
      <c r="E1670" s="3">
        <v>18176.36</v>
      </c>
    </row>
    <row r="1671" spans="1:5" x14ac:dyDescent="0.25">
      <c r="A1671" s="3" t="s">
        <v>5</v>
      </c>
      <c r="B1671" s="3" t="s">
        <v>613</v>
      </c>
      <c r="C1671" s="3" t="s">
        <v>80</v>
      </c>
      <c r="D1671" s="4">
        <f>HYPERLINK("https://cao.dolgi.msk.ru/account/1060089304/", 1060089304)</f>
        <v>1060089304</v>
      </c>
      <c r="E1671" s="3">
        <v>13774.73</v>
      </c>
    </row>
    <row r="1672" spans="1:5" x14ac:dyDescent="0.25">
      <c r="A1672" s="3" t="s">
        <v>5</v>
      </c>
      <c r="B1672" s="3" t="s">
        <v>613</v>
      </c>
      <c r="C1672" s="3" t="s">
        <v>94</v>
      </c>
      <c r="D1672" s="4">
        <f>HYPERLINK("https://cao.dolgi.msk.ru/account/1060089486/", 1060089486)</f>
        <v>1060089486</v>
      </c>
      <c r="E1672" s="3">
        <v>280896.8</v>
      </c>
    </row>
    <row r="1673" spans="1:5" x14ac:dyDescent="0.25">
      <c r="A1673" s="3" t="s">
        <v>5</v>
      </c>
      <c r="B1673" s="3" t="s">
        <v>613</v>
      </c>
      <c r="C1673" s="3" t="s">
        <v>99</v>
      </c>
      <c r="D1673" s="4">
        <f>HYPERLINK("https://cao.dolgi.msk.ru/account/1060089531/", 1060089531)</f>
        <v>1060089531</v>
      </c>
      <c r="E1673" s="3">
        <v>12541.47</v>
      </c>
    </row>
    <row r="1674" spans="1:5" x14ac:dyDescent="0.25">
      <c r="A1674" s="3" t="s">
        <v>5</v>
      </c>
      <c r="B1674" s="3" t="s">
        <v>613</v>
      </c>
      <c r="C1674" s="3" t="s">
        <v>149</v>
      </c>
      <c r="D1674" s="4">
        <f>HYPERLINK("https://cao.dolgi.msk.ru/account/1060089806/", 1060089806)</f>
        <v>1060089806</v>
      </c>
      <c r="E1674" s="3">
        <v>105071.32</v>
      </c>
    </row>
    <row r="1675" spans="1:5" x14ac:dyDescent="0.25">
      <c r="A1675" s="3" t="s">
        <v>5</v>
      </c>
      <c r="B1675" s="3" t="s">
        <v>613</v>
      </c>
      <c r="C1675" s="3" t="s">
        <v>160</v>
      </c>
      <c r="D1675" s="4">
        <f>HYPERLINK("https://cao.dolgi.msk.ru/account/1060089945/", 1060089945)</f>
        <v>1060089945</v>
      </c>
      <c r="E1675" s="3">
        <v>38146.769999999997</v>
      </c>
    </row>
    <row r="1676" spans="1:5" x14ac:dyDescent="0.25">
      <c r="A1676" s="3" t="s">
        <v>5</v>
      </c>
      <c r="B1676" s="3" t="s">
        <v>613</v>
      </c>
      <c r="C1676" s="3" t="s">
        <v>161</v>
      </c>
      <c r="D1676" s="4">
        <f>HYPERLINK("https://cao.dolgi.msk.ru/account/1060774344/", 1060774344)</f>
        <v>1060774344</v>
      </c>
      <c r="E1676" s="3">
        <v>12453.17</v>
      </c>
    </row>
    <row r="1677" spans="1:5" x14ac:dyDescent="0.25">
      <c r="A1677" s="3" t="s">
        <v>5</v>
      </c>
      <c r="B1677" s="3" t="s">
        <v>613</v>
      </c>
      <c r="C1677" s="3" t="s">
        <v>182</v>
      </c>
      <c r="D1677" s="4">
        <f>HYPERLINK("https://cao.dolgi.msk.ru/account/1060090217/", 1060090217)</f>
        <v>1060090217</v>
      </c>
      <c r="E1677" s="3">
        <v>4076.91</v>
      </c>
    </row>
    <row r="1678" spans="1:5" x14ac:dyDescent="0.25">
      <c r="A1678" s="3" t="s">
        <v>5</v>
      </c>
      <c r="B1678" s="3" t="s">
        <v>613</v>
      </c>
      <c r="C1678" s="3" t="s">
        <v>185</v>
      </c>
      <c r="D1678" s="4">
        <f>HYPERLINK("https://cao.dolgi.msk.ru/account/1060090241/", 1060090241)</f>
        <v>1060090241</v>
      </c>
      <c r="E1678" s="3">
        <v>38911.879999999997</v>
      </c>
    </row>
    <row r="1679" spans="1:5" x14ac:dyDescent="0.25">
      <c r="A1679" s="3" t="s">
        <v>5</v>
      </c>
      <c r="B1679" s="3" t="s">
        <v>613</v>
      </c>
      <c r="C1679" s="3" t="s">
        <v>193</v>
      </c>
      <c r="D1679" s="4">
        <f>HYPERLINK("https://cao.dolgi.msk.ru/account/1060090348/", 1060090348)</f>
        <v>1060090348</v>
      </c>
      <c r="E1679" s="3">
        <v>4245.1899999999996</v>
      </c>
    </row>
    <row r="1680" spans="1:5" x14ac:dyDescent="0.25">
      <c r="A1680" s="3" t="s">
        <v>5</v>
      </c>
      <c r="B1680" s="3" t="s">
        <v>613</v>
      </c>
      <c r="C1680" s="3" t="s">
        <v>194</v>
      </c>
      <c r="D1680" s="4">
        <f>HYPERLINK("https://cao.dolgi.msk.ru/account/1060090356/", 1060090356)</f>
        <v>1060090356</v>
      </c>
      <c r="E1680" s="3">
        <v>84459.93</v>
      </c>
    </row>
    <row r="1681" spans="1:5" x14ac:dyDescent="0.25">
      <c r="A1681" s="3" t="s">
        <v>5</v>
      </c>
      <c r="B1681" s="3" t="s">
        <v>613</v>
      </c>
      <c r="C1681" s="3" t="s">
        <v>195</v>
      </c>
      <c r="D1681" s="4">
        <f>HYPERLINK("https://cao.dolgi.msk.ru/account/1060090364/", 1060090364)</f>
        <v>1060090364</v>
      </c>
      <c r="E1681" s="3">
        <v>6948.75</v>
      </c>
    </row>
    <row r="1682" spans="1:5" x14ac:dyDescent="0.25">
      <c r="A1682" s="3" t="s">
        <v>5</v>
      </c>
      <c r="B1682" s="3" t="s">
        <v>614</v>
      </c>
      <c r="C1682" s="3" t="s">
        <v>8</v>
      </c>
      <c r="D1682" s="4">
        <f>HYPERLINK("https://cao.dolgi.msk.ru/account/1060078891/", 1060078891)</f>
        <v>1060078891</v>
      </c>
      <c r="E1682" s="3">
        <v>24826.23</v>
      </c>
    </row>
    <row r="1683" spans="1:5" x14ac:dyDescent="0.25">
      <c r="A1683" s="3" t="s">
        <v>5</v>
      </c>
      <c r="B1683" s="3" t="s">
        <v>614</v>
      </c>
      <c r="C1683" s="3" t="s">
        <v>131</v>
      </c>
      <c r="D1683" s="4">
        <f>HYPERLINK("https://cao.dolgi.msk.ru/account/1060355318/", 1060355318)</f>
        <v>1060355318</v>
      </c>
      <c r="E1683" s="3">
        <v>18359.96</v>
      </c>
    </row>
    <row r="1684" spans="1:5" x14ac:dyDescent="0.25">
      <c r="A1684" s="3" t="s">
        <v>5</v>
      </c>
      <c r="B1684" s="3" t="s">
        <v>614</v>
      </c>
      <c r="C1684" s="3" t="s">
        <v>13</v>
      </c>
      <c r="D1684" s="4">
        <f>HYPERLINK("https://cao.dolgi.msk.ru/account/1060355553/", 1060355553)</f>
        <v>1060355553</v>
      </c>
      <c r="E1684" s="3">
        <v>28566.28</v>
      </c>
    </row>
    <row r="1685" spans="1:5" x14ac:dyDescent="0.25">
      <c r="A1685" s="3" t="s">
        <v>5</v>
      </c>
      <c r="B1685" s="3" t="s">
        <v>614</v>
      </c>
      <c r="C1685" s="3" t="s">
        <v>15</v>
      </c>
      <c r="D1685" s="4">
        <f>HYPERLINK("https://cao.dolgi.msk.ru/account/1060355588/", 1060355588)</f>
        <v>1060355588</v>
      </c>
      <c r="E1685" s="3">
        <v>7603.72</v>
      </c>
    </row>
    <row r="1686" spans="1:5" x14ac:dyDescent="0.25">
      <c r="A1686" s="3" t="s">
        <v>5</v>
      </c>
      <c r="B1686" s="3" t="s">
        <v>614</v>
      </c>
      <c r="C1686" s="3" t="s">
        <v>19</v>
      </c>
      <c r="D1686" s="4">
        <f>HYPERLINK("https://cao.dolgi.msk.ru/account/1060355625/", 1060355625)</f>
        <v>1060355625</v>
      </c>
      <c r="E1686" s="3">
        <v>6392.4</v>
      </c>
    </row>
    <row r="1687" spans="1:5" x14ac:dyDescent="0.25">
      <c r="A1687" s="3" t="s">
        <v>5</v>
      </c>
      <c r="B1687" s="3" t="s">
        <v>614</v>
      </c>
      <c r="C1687" s="3" t="s">
        <v>34</v>
      </c>
      <c r="D1687" s="4">
        <f>HYPERLINK("https://cao.dolgi.msk.ru/account/1060355801/", 1060355801)</f>
        <v>1060355801</v>
      </c>
      <c r="E1687" s="3">
        <v>14957.07</v>
      </c>
    </row>
    <row r="1688" spans="1:5" x14ac:dyDescent="0.25">
      <c r="A1688" s="3" t="s">
        <v>5</v>
      </c>
      <c r="B1688" s="3" t="s">
        <v>614</v>
      </c>
      <c r="C1688" s="3" t="s">
        <v>35</v>
      </c>
      <c r="D1688" s="4">
        <f>HYPERLINK("https://cao.dolgi.msk.ru/account/1060355828/", 1060355828)</f>
        <v>1060355828</v>
      </c>
      <c r="E1688" s="3">
        <v>61850.54</v>
      </c>
    </row>
    <row r="1689" spans="1:5" x14ac:dyDescent="0.25">
      <c r="A1689" s="3" t="s">
        <v>5</v>
      </c>
      <c r="B1689" s="3" t="s">
        <v>614</v>
      </c>
      <c r="C1689" s="3" t="s">
        <v>40</v>
      </c>
      <c r="D1689" s="4">
        <f>HYPERLINK("https://cao.dolgi.msk.ru/account/1060355887/", 1060355887)</f>
        <v>1060355887</v>
      </c>
      <c r="E1689" s="3">
        <v>14210.56</v>
      </c>
    </row>
    <row r="1690" spans="1:5" x14ac:dyDescent="0.25">
      <c r="A1690" s="3" t="s">
        <v>5</v>
      </c>
      <c r="B1690" s="3" t="s">
        <v>614</v>
      </c>
      <c r="C1690" s="3" t="s">
        <v>45</v>
      </c>
      <c r="D1690" s="4">
        <f>HYPERLINK("https://cao.dolgi.msk.ru/account/1060355932/", 1060355932)</f>
        <v>1060355932</v>
      </c>
      <c r="E1690" s="3">
        <v>31217.49</v>
      </c>
    </row>
    <row r="1691" spans="1:5" x14ac:dyDescent="0.25">
      <c r="A1691" s="3" t="s">
        <v>5</v>
      </c>
      <c r="B1691" s="3" t="s">
        <v>615</v>
      </c>
      <c r="C1691" s="3" t="s">
        <v>138</v>
      </c>
      <c r="D1691" s="4">
        <f>HYPERLINK("https://cao.dolgi.msk.ru/account/1060095069/", 1060095069)</f>
        <v>1060095069</v>
      </c>
      <c r="E1691" s="3">
        <v>4346.97</v>
      </c>
    </row>
    <row r="1692" spans="1:5" x14ac:dyDescent="0.25">
      <c r="A1692" s="3" t="s">
        <v>5</v>
      </c>
      <c r="B1692" s="3" t="s">
        <v>615</v>
      </c>
      <c r="C1692" s="3" t="s">
        <v>41</v>
      </c>
      <c r="D1692" s="4">
        <f>HYPERLINK("https://cao.dolgi.msk.ru/account/1060772146/", 1060772146)</f>
        <v>1060772146</v>
      </c>
      <c r="E1692" s="3">
        <v>18409.38</v>
      </c>
    </row>
    <row r="1693" spans="1:5" x14ac:dyDescent="0.25">
      <c r="A1693" s="3" t="s">
        <v>5</v>
      </c>
      <c r="B1693" s="3" t="s">
        <v>615</v>
      </c>
      <c r="C1693" s="3" t="s">
        <v>50</v>
      </c>
      <c r="D1693" s="4">
        <f>HYPERLINK("https://cao.dolgi.msk.ru/account/1060093442/", 1060093442)</f>
        <v>1060093442</v>
      </c>
      <c r="E1693" s="3">
        <v>372375.17</v>
      </c>
    </row>
    <row r="1694" spans="1:5" x14ac:dyDescent="0.25">
      <c r="A1694" s="3" t="s">
        <v>5</v>
      </c>
      <c r="B1694" s="3" t="s">
        <v>615</v>
      </c>
      <c r="C1694" s="3" t="s">
        <v>61</v>
      </c>
      <c r="D1694" s="4">
        <f>HYPERLINK("https://cao.dolgi.msk.ru/account/1060098032/", 1060098032)</f>
        <v>1060098032</v>
      </c>
      <c r="E1694" s="3">
        <v>17268.05</v>
      </c>
    </row>
    <row r="1695" spans="1:5" x14ac:dyDescent="0.25">
      <c r="A1695" s="3" t="s">
        <v>5</v>
      </c>
      <c r="B1695" s="3" t="s">
        <v>615</v>
      </c>
      <c r="C1695" s="3" t="s">
        <v>63</v>
      </c>
      <c r="D1695" s="4">
        <f>HYPERLINK("https://cao.dolgi.msk.ru/account/1060097283/", 1060097283)</f>
        <v>1060097283</v>
      </c>
      <c r="E1695" s="3">
        <v>7911.18</v>
      </c>
    </row>
    <row r="1696" spans="1:5" x14ac:dyDescent="0.25">
      <c r="A1696" s="3" t="s">
        <v>5</v>
      </c>
      <c r="B1696" s="3" t="s">
        <v>615</v>
      </c>
      <c r="C1696" s="3" t="s">
        <v>77</v>
      </c>
      <c r="D1696" s="4">
        <f>HYPERLINK("https://cao.dolgi.msk.ru/account/1060775953/", 1060775953)</f>
        <v>1060775953</v>
      </c>
      <c r="E1696" s="3">
        <v>34347.18</v>
      </c>
    </row>
    <row r="1697" spans="1:5" x14ac:dyDescent="0.25">
      <c r="A1697" s="3" t="s">
        <v>5</v>
      </c>
      <c r="B1697" s="3" t="s">
        <v>615</v>
      </c>
      <c r="C1697" s="3" t="s">
        <v>92</v>
      </c>
      <c r="D1697" s="4">
        <f>HYPERLINK("https://cao.dolgi.msk.ru/account/1060095704/", 1060095704)</f>
        <v>1060095704</v>
      </c>
      <c r="E1697" s="3">
        <v>15454.78</v>
      </c>
    </row>
    <row r="1698" spans="1:5" x14ac:dyDescent="0.25">
      <c r="A1698" s="3" t="s">
        <v>5</v>
      </c>
      <c r="B1698" s="3" t="s">
        <v>615</v>
      </c>
      <c r="C1698" s="3" t="s">
        <v>145</v>
      </c>
      <c r="D1698" s="4">
        <f>HYPERLINK("https://cao.dolgi.msk.ru/account/1060096205/", 1060096205)</f>
        <v>1060096205</v>
      </c>
      <c r="E1698" s="3">
        <v>11964.52</v>
      </c>
    </row>
    <row r="1699" spans="1:5" x14ac:dyDescent="0.25">
      <c r="A1699" s="3" t="s">
        <v>5</v>
      </c>
      <c r="B1699" s="3" t="s">
        <v>615</v>
      </c>
      <c r="C1699" s="3" t="s">
        <v>111</v>
      </c>
      <c r="D1699" s="4">
        <f>HYPERLINK("https://cao.dolgi.msk.ru/account/1060771215/", 1060771215)</f>
        <v>1060771215</v>
      </c>
      <c r="E1699" s="3">
        <v>29145.22</v>
      </c>
    </row>
    <row r="1700" spans="1:5" x14ac:dyDescent="0.25">
      <c r="A1700" s="3" t="s">
        <v>5</v>
      </c>
      <c r="B1700" s="3" t="s">
        <v>615</v>
      </c>
      <c r="C1700" s="3" t="s">
        <v>113</v>
      </c>
      <c r="D1700" s="4">
        <f>HYPERLINK("https://cao.dolgi.msk.ru/account/1060098067/", 1060098067)</f>
        <v>1060098067</v>
      </c>
      <c r="E1700" s="3">
        <v>7137.21</v>
      </c>
    </row>
    <row r="1701" spans="1:5" x14ac:dyDescent="0.25">
      <c r="A1701" s="3" t="s">
        <v>5</v>
      </c>
      <c r="B1701" s="3" t="s">
        <v>615</v>
      </c>
      <c r="C1701" s="3" t="s">
        <v>152</v>
      </c>
      <c r="D1701" s="4">
        <f>HYPERLINK("https://cao.dolgi.msk.ru/account/1060097291/", 1060097291)</f>
        <v>1060097291</v>
      </c>
      <c r="E1701" s="3">
        <v>13134.75</v>
      </c>
    </row>
    <row r="1702" spans="1:5" x14ac:dyDescent="0.25">
      <c r="A1702" s="3" t="s">
        <v>5</v>
      </c>
      <c r="B1702" s="3" t="s">
        <v>615</v>
      </c>
      <c r="C1702" s="3" t="s">
        <v>152</v>
      </c>
      <c r="D1702" s="4">
        <f>HYPERLINK("https://cao.dolgi.msk.ru/account/1060871283/", 1060871283)</f>
        <v>1060871283</v>
      </c>
      <c r="E1702" s="3">
        <v>8206.7099999999991</v>
      </c>
    </row>
    <row r="1703" spans="1:5" x14ac:dyDescent="0.25">
      <c r="A1703" s="3" t="s">
        <v>5</v>
      </c>
      <c r="B1703" s="3" t="s">
        <v>615</v>
      </c>
      <c r="C1703" s="3" t="s">
        <v>188</v>
      </c>
      <c r="D1703" s="4">
        <f>HYPERLINK("https://cao.dolgi.msk.ru/account/1060096985/", 1060096985)</f>
        <v>1060096985</v>
      </c>
      <c r="E1703" s="3">
        <v>9294.25</v>
      </c>
    </row>
    <row r="1704" spans="1:5" x14ac:dyDescent="0.25">
      <c r="A1704" s="3" t="s">
        <v>5</v>
      </c>
      <c r="B1704" s="3" t="s">
        <v>615</v>
      </c>
      <c r="C1704" s="3" t="s">
        <v>220</v>
      </c>
      <c r="D1704" s="4">
        <f>HYPERLINK("https://cao.dolgi.msk.ru/account/1060773579/", 1060773579)</f>
        <v>1060773579</v>
      </c>
      <c r="E1704" s="3">
        <v>8261.5300000000007</v>
      </c>
    </row>
    <row r="1705" spans="1:5" x14ac:dyDescent="0.25">
      <c r="A1705" s="3" t="s">
        <v>5</v>
      </c>
      <c r="B1705" s="3" t="s">
        <v>615</v>
      </c>
      <c r="C1705" s="3" t="s">
        <v>225</v>
      </c>
      <c r="D1705" s="4">
        <f>HYPERLINK("https://cao.dolgi.msk.ru/account/1060771688/", 1060771688)</f>
        <v>1060771688</v>
      </c>
      <c r="E1705" s="3">
        <v>8346.1</v>
      </c>
    </row>
    <row r="1706" spans="1:5" x14ac:dyDescent="0.25">
      <c r="A1706" s="3" t="s">
        <v>5</v>
      </c>
      <c r="B1706" s="3" t="s">
        <v>615</v>
      </c>
      <c r="C1706" s="3" t="s">
        <v>226</v>
      </c>
      <c r="D1706" s="4">
        <f>HYPERLINK("https://cao.dolgi.msk.ru/account/1060094779/", 1060094779)</f>
        <v>1060094779</v>
      </c>
      <c r="E1706" s="3">
        <v>141344.04999999999</v>
      </c>
    </row>
    <row r="1707" spans="1:5" x14ac:dyDescent="0.25">
      <c r="A1707" s="3" t="s">
        <v>5</v>
      </c>
      <c r="B1707" s="3" t="s">
        <v>615</v>
      </c>
      <c r="C1707" s="3" t="s">
        <v>229</v>
      </c>
      <c r="D1707" s="4">
        <f>HYPERLINK("https://cao.dolgi.msk.ru/account/1060095675/", 1060095675)</f>
        <v>1060095675</v>
      </c>
      <c r="E1707" s="3">
        <v>20109.62</v>
      </c>
    </row>
    <row r="1708" spans="1:5" x14ac:dyDescent="0.25">
      <c r="A1708" s="3" t="s">
        <v>5</v>
      </c>
      <c r="B1708" s="3" t="s">
        <v>615</v>
      </c>
      <c r="C1708" s="3" t="s">
        <v>237</v>
      </c>
      <c r="D1708" s="4">
        <f>HYPERLINK("https://cao.dolgi.msk.ru/account/1060770335/", 1060770335)</f>
        <v>1060770335</v>
      </c>
      <c r="E1708" s="3">
        <v>525997.37</v>
      </c>
    </row>
    <row r="1709" spans="1:5" x14ac:dyDescent="0.25">
      <c r="A1709" s="3" t="s">
        <v>5</v>
      </c>
      <c r="B1709" s="3" t="s">
        <v>615</v>
      </c>
      <c r="C1709" s="3" t="s">
        <v>278</v>
      </c>
      <c r="D1709" s="4">
        <f>HYPERLINK("https://cao.dolgi.msk.ru/account/1060771151/", 1060771151)</f>
        <v>1060771151</v>
      </c>
      <c r="E1709" s="3">
        <v>25592.84</v>
      </c>
    </row>
    <row r="1710" spans="1:5" x14ac:dyDescent="0.25">
      <c r="A1710" s="3" t="s">
        <v>5</v>
      </c>
      <c r="B1710" s="3" t="s">
        <v>616</v>
      </c>
      <c r="C1710" s="3" t="s">
        <v>12</v>
      </c>
      <c r="D1710" s="4">
        <f>HYPERLINK("https://cao.dolgi.msk.ru/account/1060021414/", 1060021414)</f>
        <v>1060021414</v>
      </c>
      <c r="E1710" s="3">
        <v>72225.600000000006</v>
      </c>
    </row>
    <row r="1711" spans="1:5" x14ac:dyDescent="0.25">
      <c r="A1711" s="3" t="s">
        <v>5</v>
      </c>
      <c r="B1711" s="3" t="s">
        <v>616</v>
      </c>
      <c r="C1711" s="3" t="s">
        <v>27</v>
      </c>
      <c r="D1711" s="4">
        <f>HYPERLINK("https://cao.dolgi.msk.ru/account/1060021633/", 1060021633)</f>
        <v>1060021633</v>
      </c>
      <c r="E1711" s="3">
        <v>8090.58</v>
      </c>
    </row>
    <row r="1712" spans="1:5" x14ac:dyDescent="0.25">
      <c r="A1712" s="3" t="s">
        <v>5</v>
      </c>
      <c r="B1712" s="3" t="s">
        <v>616</v>
      </c>
      <c r="C1712" s="3" t="s">
        <v>73</v>
      </c>
      <c r="D1712" s="4">
        <f>HYPERLINK("https://cao.dolgi.msk.ru/account/1060022126/", 1060022126)</f>
        <v>1060022126</v>
      </c>
      <c r="E1712" s="3">
        <v>53230.49</v>
      </c>
    </row>
    <row r="1713" spans="1:5" x14ac:dyDescent="0.25">
      <c r="A1713" s="3" t="s">
        <v>5</v>
      </c>
      <c r="B1713" s="3" t="s">
        <v>616</v>
      </c>
      <c r="C1713" s="3" t="s">
        <v>83</v>
      </c>
      <c r="D1713" s="4">
        <f>HYPERLINK("https://cao.dolgi.msk.ru/account/1060022257/", 1060022257)</f>
        <v>1060022257</v>
      </c>
      <c r="E1713" s="3">
        <v>6835.46</v>
      </c>
    </row>
    <row r="1714" spans="1:5" x14ac:dyDescent="0.25">
      <c r="A1714" s="3" t="s">
        <v>5</v>
      </c>
      <c r="B1714" s="3" t="s">
        <v>616</v>
      </c>
      <c r="C1714" s="3" t="s">
        <v>146</v>
      </c>
      <c r="D1714" s="4">
        <f>HYPERLINK("https://cao.dolgi.msk.ru/account/1060022513/", 1060022513)</f>
        <v>1060022513</v>
      </c>
      <c r="E1714" s="3">
        <v>10209.25</v>
      </c>
    </row>
    <row r="1715" spans="1:5" x14ac:dyDescent="0.25">
      <c r="A1715" s="3" t="s">
        <v>5</v>
      </c>
      <c r="B1715" s="3" t="s">
        <v>616</v>
      </c>
      <c r="C1715" s="3" t="s">
        <v>104</v>
      </c>
      <c r="D1715" s="4">
        <f>HYPERLINK("https://cao.dolgi.msk.ru/account/1060022556/", 1060022556)</f>
        <v>1060022556</v>
      </c>
      <c r="E1715" s="3">
        <v>20813.490000000002</v>
      </c>
    </row>
    <row r="1716" spans="1:5" x14ac:dyDescent="0.25">
      <c r="A1716" s="3" t="s">
        <v>5</v>
      </c>
      <c r="B1716" s="3" t="s">
        <v>617</v>
      </c>
      <c r="C1716" s="3" t="s">
        <v>9</v>
      </c>
      <c r="D1716" s="4">
        <f>HYPERLINK("https://cao.dolgi.msk.ru/account/1060022652/", 1060022652)</f>
        <v>1060022652</v>
      </c>
      <c r="E1716" s="3">
        <v>14896.95</v>
      </c>
    </row>
    <row r="1717" spans="1:5" x14ac:dyDescent="0.25">
      <c r="A1717" s="3" t="s">
        <v>5</v>
      </c>
      <c r="B1717" s="3" t="s">
        <v>617</v>
      </c>
      <c r="C1717" s="3" t="s">
        <v>89</v>
      </c>
      <c r="D1717" s="4">
        <f>HYPERLINK("https://cao.dolgi.msk.ru/account/1060022687/", 1060022687)</f>
        <v>1060022687</v>
      </c>
      <c r="E1717" s="3">
        <v>119032.25</v>
      </c>
    </row>
    <row r="1718" spans="1:5" x14ac:dyDescent="0.25">
      <c r="A1718" s="3" t="s">
        <v>5</v>
      </c>
      <c r="B1718" s="3" t="s">
        <v>617</v>
      </c>
      <c r="C1718" s="3" t="s">
        <v>89</v>
      </c>
      <c r="D1718" s="4">
        <f>HYPERLINK("https://cao.dolgi.msk.ru/account/1060901083/", 1060901083)</f>
        <v>1060901083</v>
      </c>
      <c r="E1718" s="3">
        <v>382847.06</v>
      </c>
    </row>
    <row r="1719" spans="1:5" x14ac:dyDescent="0.25">
      <c r="A1719" s="3" t="s">
        <v>5</v>
      </c>
      <c r="B1719" s="3" t="s">
        <v>617</v>
      </c>
      <c r="C1719" s="3" t="s">
        <v>89</v>
      </c>
      <c r="D1719" s="4">
        <f>HYPERLINK("https://cao.dolgi.msk.ru/account/1060901091/", 1060901091)</f>
        <v>1060901091</v>
      </c>
      <c r="E1719" s="3">
        <v>500544.14</v>
      </c>
    </row>
    <row r="1720" spans="1:5" x14ac:dyDescent="0.25">
      <c r="A1720" s="3" t="s">
        <v>5</v>
      </c>
      <c r="B1720" s="3" t="s">
        <v>617</v>
      </c>
      <c r="C1720" s="3" t="s">
        <v>89</v>
      </c>
      <c r="D1720" s="4">
        <f>HYPERLINK("https://cao.dolgi.msk.ru/account/1060901104/", 1060901104)</f>
        <v>1060901104</v>
      </c>
      <c r="E1720" s="3">
        <v>310091.89</v>
      </c>
    </row>
    <row r="1721" spans="1:5" x14ac:dyDescent="0.25">
      <c r="A1721" s="3" t="s">
        <v>5</v>
      </c>
      <c r="B1721" s="3" t="s">
        <v>617</v>
      </c>
      <c r="C1721" s="3" t="s">
        <v>89</v>
      </c>
      <c r="D1721" s="4">
        <f>HYPERLINK("https://cao.dolgi.msk.ru/account/1060901112/", 1060901112)</f>
        <v>1060901112</v>
      </c>
      <c r="E1721" s="3">
        <v>141955.96</v>
      </c>
    </row>
    <row r="1722" spans="1:5" x14ac:dyDescent="0.25">
      <c r="A1722" s="3" t="s">
        <v>5</v>
      </c>
      <c r="B1722" s="3" t="s">
        <v>617</v>
      </c>
      <c r="C1722" s="3" t="s">
        <v>89</v>
      </c>
      <c r="D1722" s="4">
        <f>HYPERLINK("https://cao.dolgi.msk.ru/account/1060901139/", 1060901139)</f>
        <v>1060901139</v>
      </c>
      <c r="E1722" s="3">
        <v>137470.84</v>
      </c>
    </row>
    <row r="1723" spans="1:5" x14ac:dyDescent="0.25">
      <c r="A1723" s="3" t="s">
        <v>5</v>
      </c>
      <c r="B1723" s="3" t="s">
        <v>617</v>
      </c>
      <c r="C1723" s="3" t="s">
        <v>89</v>
      </c>
      <c r="D1723" s="4">
        <f>HYPERLINK("https://cao.dolgi.msk.ru/account/1060901147/", 1060901147)</f>
        <v>1060901147</v>
      </c>
      <c r="E1723" s="3">
        <v>137470.84</v>
      </c>
    </row>
    <row r="1724" spans="1:5" x14ac:dyDescent="0.25">
      <c r="A1724" s="3" t="s">
        <v>5</v>
      </c>
      <c r="B1724" s="3" t="s">
        <v>617</v>
      </c>
      <c r="C1724" s="3" t="s">
        <v>135</v>
      </c>
      <c r="D1724" s="4">
        <f>HYPERLINK("https://cao.dolgi.msk.ru/account/1060022724/", 1060022724)</f>
        <v>1060022724</v>
      </c>
      <c r="E1724" s="3">
        <v>10187.200000000001</v>
      </c>
    </row>
    <row r="1725" spans="1:5" x14ac:dyDescent="0.25">
      <c r="A1725" s="3" t="s">
        <v>5</v>
      </c>
      <c r="B1725" s="3" t="s">
        <v>618</v>
      </c>
      <c r="C1725" s="3" t="s">
        <v>42</v>
      </c>
      <c r="D1725" s="4">
        <f>HYPERLINK("https://cao.dolgi.msk.ru/account/1060868201/", 1060868201)</f>
        <v>1060868201</v>
      </c>
      <c r="E1725" s="3">
        <v>1865.87</v>
      </c>
    </row>
    <row r="1726" spans="1:5" x14ac:dyDescent="0.25">
      <c r="A1726" s="3" t="s">
        <v>5</v>
      </c>
      <c r="B1726" s="3" t="s">
        <v>618</v>
      </c>
      <c r="C1726" s="3" t="s">
        <v>50</v>
      </c>
      <c r="D1726" s="4">
        <f>HYPERLINK("https://cao.dolgi.msk.ru/account/1060023436/", 1060023436)</f>
        <v>1060023436</v>
      </c>
      <c r="E1726" s="3">
        <v>5338.25</v>
      </c>
    </row>
    <row r="1727" spans="1:5" x14ac:dyDescent="0.25">
      <c r="A1727" s="3" t="s">
        <v>5</v>
      </c>
      <c r="B1727" s="3" t="s">
        <v>618</v>
      </c>
      <c r="C1727" s="3" t="s">
        <v>80</v>
      </c>
      <c r="D1727" s="4">
        <f>HYPERLINK("https://cao.dolgi.msk.ru/account/1060023727/", 1060023727)</f>
        <v>1060023727</v>
      </c>
      <c r="E1727" s="3">
        <v>8032.57</v>
      </c>
    </row>
    <row r="1728" spans="1:5" x14ac:dyDescent="0.25">
      <c r="A1728" s="3" t="s">
        <v>5</v>
      </c>
      <c r="B1728" s="3" t="s">
        <v>618</v>
      </c>
      <c r="C1728" s="3" t="s">
        <v>157</v>
      </c>
      <c r="D1728" s="4">
        <f>HYPERLINK("https://cao.dolgi.msk.ru/account/1060024332/", 1060024332)</f>
        <v>1060024332</v>
      </c>
      <c r="E1728" s="3">
        <v>9705.9500000000007</v>
      </c>
    </row>
    <row r="1729" spans="1:5" x14ac:dyDescent="0.25">
      <c r="A1729" s="3" t="s">
        <v>5</v>
      </c>
      <c r="B1729" s="3" t="s">
        <v>618</v>
      </c>
      <c r="C1729" s="3" t="s">
        <v>176</v>
      </c>
      <c r="D1729" s="4">
        <f>HYPERLINK("https://cao.dolgi.msk.ru/account/1060024586/", 1060024586)</f>
        <v>1060024586</v>
      </c>
      <c r="E1729" s="3">
        <v>5287.05</v>
      </c>
    </row>
    <row r="1730" spans="1:5" x14ac:dyDescent="0.25">
      <c r="A1730" s="3" t="s">
        <v>5</v>
      </c>
      <c r="B1730" s="3" t="s">
        <v>618</v>
      </c>
      <c r="C1730" s="3" t="s">
        <v>189</v>
      </c>
      <c r="D1730" s="4">
        <f>HYPERLINK("https://cao.dolgi.msk.ru/account/1060024754/", 1060024754)</f>
        <v>1060024754</v>
      </c>
      <c r="E1730" s="3">
        <v>8035.63</v>
      </c>
    </row>
    <row r="1731" spans="1:5" x14ac:dyDescent="0.25">
      <c r="A1731" s="3" t="s">
        <v>5</v>
      </c>
      <c r="B1731" s="3" t="s">
        <v>618</v>
      </c>
      <c r="C1731" s="3" t="s">
        <v>198</v>
      </c>
      <c r="D1731" s="4">
        <f>HYPERLINK("https://cao.dolgi.msk.ru/account/1060024877/", 1060024877)</f>
        <v>1060024877</v>
      </c>
      <c r="E1731" s="3">
        <v>9934.94</v>
      </c>
    </row>
    <row r="1732" spans="1:5" x14ac:dyDescent="0.25">
      <c r="A1732" s="3" t="s">
        <v>5</v>
      </c>
      <c r="B1732" s="3" t="s">
        <v>618</v>
      </c>
      <c r="C1732" s="3" t="s">
        <v>221</v>
      </c>
      <c r="D1732" s="4">
        <f>HYPERLINK("https://cao.dolgi.msk.ru/account/1060025124/", 1060025124)</f>
        <v>1060025124</v>
      </c>
      <c r="E1732" s="3">
        <v>8300.4599999999991</v>
      </c>
    </row>
    <row r="1733" spans="1:5" x14ac:dyDescent="0.25">
      <c r="A1733" s="3" t="s">
        <v>5</v>
      </c>
      <c r="B1733" s="3" t="s">
        <v>619</v>
      </c>
      <c r="C1733" s="3" t="s">
        <v>51</v>
      </c>
      <c r="D1733" s="4">
        <f>HYPERLINK("https://cao.dolgi.msk.ru/account/1060867663/", 1060867663)</f>
        <v>1060867663</v>
      </c>
      <c r="E1733" s="3">
        <v>75097.070000000007</v>
      </c>
    </row>
    <row r="1734" spans="1:5" x14ac:dyDescent="0.25">
      <c r="A1734" s="3" t="s">
        <v>5</v>
      </c>
      <c r="B1734" s="3" t="s">
        <v>619</v>
      </c>
      <c r="C1734" s="3" t="s">
        <v>8</v>
      </c>
      <c r="D1734" s="4">
        <f>HYPERLINK("https://cao.dolgi.msk.ru/account/1060858441/", 1060858441)</f>
        <v>1060858441</v>
      </c>
      <c r="E1734" s="3">
        <v>39462.379999999997</v>
      </c>
    </row>
    <row r="1735" spans="1:5" x14ac:dyDescent="0.25">
      <c r="A1735" s="3" t="s">
        <v>5</v>
      </c>
      <c r="B1735" s="3" t="s">
        <v>619</v>
      </c>
      <c r="C1735" s="3" t="s">
        <v>131</v>
      </c>
      <c r="D1735" s="4">
        <f>HYPERLINK("https://cao.dolgi.msk.ru/account/1060901403/", 1060901403)</f>
        <v>1060901403</v>
      </c>
      <c r="E1735" s="3">
        <v>103260.57</v>
      </c>
    </row>
    <row r="1736" spans="1:5" x14ac:dyDescent="0.25">
      <c r="A1736" s="3" t="s">
        <v>5</v>
      </c>
      <c r="B1736" s="3" t="s">
        <v>619</v>
      </c>
      <c r="C1736" s="3" t="s">
        <v>9</v>
      </c>
      <c r="D1736" s="4">
        <f>HYPERLINK("https://cao.dolgi.msk.ru/account/1060878936/", 1060878936)</f>
        <v>1060878936</v>
      </c>
      <c r="E1736" s="3">
        <v>18448.55</v>
      </c>
    </row>
    <row r="1737" spans="1:5" x14ac:dyDescent="0.25">
      <c r="A1737" s="3" t="s">
        <v>5</v>
      </c>
      <c r="B1737" s="3" t="s">
        <v>619</v>
      </c>
      <c r="C1737" s="3" t="s">
        <v>89</v>
      </c>
      <c r="D1737" s="4">
        <f>HYPERLINK("https://cao.dolgi.msk.ru/account/1060878944/", 1060878944)</f>
        <v>1060878944</v>
      </c>
      <c r="E1737" s="3">
        <v>13372.12</v>
      </c>
    </row>
    <row r="1738" spans="1:5" x14ac:dyDescent="0.25">
      <c r="A1738" s="3" t="s">
        <v>5</v>
      </c>
      <c r="B1738" s="3" t="s">
        <v>619</v>
      </c>
      <c r="C1738" s="3" t="s">
        <v>105</v>
      </c>
      <c r="D1738" s="4">
        <f>HYPERLINK("https://cao.dolgi.msk.ru/account/1060859276/", 1060859276)</f>
        <v>1060859276</v>
      </c>
      <c r="E1738" s="3">
        <v>18948.650000000001</v>
      </c>
    </row>
    <row r="1739" spans="1:5" x14ac:dyDescent="0.25">
      <c r="A1739" s="3" t="s">
        <v>5</v>
      </c>
      <c r="B1739" s="3" t="s">
        <v>619</v>
      </c>
      <c r="C1739" s="3" t="s">
        <v>136</v>
      </c>
      <c r="D1739" s="4">
        <f>HYPERLINK("https://cao.dolgi.msk.ru/account/1060879007/", 1060879007)</f>
        <v>1060879007</v>
      </c>
      <c r="E1739" s="3">
        <v>170401.76</v>
      </c>
    </row>
    <row r="1740" spans="1:5" x14ac:dyDescent="0.25">
      <c r="A1740" s="3" t="s">
        <v>5</v>
      </c>
      <c r="B1740" s="3" t="s">
        <v>619</v>
      </c>
      <c r="C1740" s="3" t="s">
        <v>138</v>
      </c>
      <c r="D1740" s="4">
        <f>HYPERLINK("https://cao.dolgi.msk.ru/account/1060903767/", 1060903767)</f>
        <v>1060903767</v>
      </c>
      <c r="E1740" s="3">
        <v>29832.13</v>
      </c>
    </row>
    <row r="1741" spans="1:5" x14ac:dyDescent="0.25">
      <c r="A1741" s="3" t="s">
        <v>5</v>
      </c>
      <c r="B1741" s="3" t="s">
        <v>619</v>
      </c>
      <c r="C1741" s="3" t="s">
        <v>139</v>
      </c>
      <c r="D1741" s="4">
        <f>HYPERLINK("https://cao.dolgi.msk.ru/account/1060889678/", 1060889678)</f>
        <v>1060889678</v>
      </c>
      <c r="E1741" s="3">
        <v>157627.76999999999</v>
      </c>
    </row>
    <row r="1742" spans="1:5" x14ac:dyDescent="0.25">
      <c r="A1742" s="3" t="s">
        <v>5</v>
      </c>
      <c r="B1742" s="3" t="s">
        <v>619</v>
      </c>
      <c r="C1742" s="3" t="s">
        <v>11</v>
      </c>
      <c r="D1742" s="4">
        <f>HYPERLINK("https://cao.dolgi.msk.ru/account/1060901411/", 1060901411)</f>
        <v>1060901411</v>
      </c>
      <c r="E1742" s="3">
        <v>204465.61</v>
      </c>
    </row>
    <row r="1743" spans="1:5" x14ac:dyDescent="0.25">
      <c r="A1743" s="3" t="s">
        <v>5</v>
      </c>
      <c r="B1743" s="3" t="s">
        <v>619</v>
      </c>
      <c r="C1743" s="3" t="s">
        <v>12</v>
      </c>
      <c r="D1743" s="4">
        <f>HYPERLINK("https://cao.dolgi.msk.ru/account/1060901438/", 1060901438)</f>
        <v>1060901438</v>
      </c>
      <c r="E1743" s="3">
        <v>53476.51</v>
      </c>
    </row>
    <row r="1744" spans="1:5" x14ac:dyDescent="0.25">
      <c r="A1744" s="3" t="s">
        <v>5</v>
      </c>
      <c r="B1744" s="3" t="s">
        <v>619</v>
      </c>
      <c r="C1744" s="3" t="s">
        <v>13</v>
      </c>
      <c r="D1744" s="4">
        <f>HYPERLINK("https://cao.dolgi.msk.ru/account/1060889651/", 1060889651)</f>
        <v>1060889651</v>
      </c>
      <c r="E1744" s="3">
        <v>152111.95000000001</v>
      </c>
    </row>
    <row r="1745" spans="1:5" x14ac:dyDescent="0.25">
      <c r="A1745" s="3" t="s">
        <v>5</v>
      </c>
      <c r="B1745" s="3" t="s">
        <v>619</v>
      </c>
      <c r="C1745" s="3" t="s">
        <v>17</v>
      </c>
      <c r="D1745" s="4">
        <f>HYPERLINK("https://cao.dolgi.msk.ru/account/1060901446/", 1060901446)</f>
        <v>1060901446</v>
      </c>
      <c r="E1745" s="3">
        <v>222443.25</v>
      </c>
    </row>
    <row r="1746" spans="1:5" x14ac:dyDescent="0.25">
      <c r="A1746" s="3" t="s">
        <v>5</v>
      </c>
      <c r="B1746" s="3" t="s">
        <v>619</v>
      </c>
      <c r="C1746" s="3" t="s">
        <v>18</v>
      </c>
      <c r="D1746" s="4">
        <f>HYPERLINK("https://cao.dolgi.msk.ru/account/1060879154/", 1060879154)</f>
        <v>1060879154</v>
      </c>
      <c r="E1746" s="3">
        <v>113385.29</v>
      </c>
    </row>
    <row r="1747" spans="1:5" x14ac:dyDescent="0.25">
      <c r="A1747" s="3" t="s">
        <v>5</v>
      </c>
      <c r="B1747" s="3" t="s">
        <v>619</v>
      </c>
      <c r="C1747" s="3" t="s">
        <v>19</v>
      </c>
      <c r="D1747" s="4">
        <f>HYPERLINK("https://cao.dolgi.msk.ru/account/1060879162/", 1060879162)</f>
        <v>1060879162</v>
      </c>
      <c r="E1747" s="3">
        <v>7228.87</v>
      </c>
    </row>
    <row r="1748" spans="1:5" x14ac:dyDescent="0.25">
      <c r="A1748" s="3" t="s">
        <v>5</v>
      </c>
      <c r="B1748" s="3" t="s">
        <v>619</v>
      </c>
      <c r="C1748" s="3" t="s">
        <v>20</v>
      </c>
      <c r="D1748" s="4">
        <f>HYPERLINK("https://cao.dolgi.msk.ru/account/1060901454/", 1060901454)</f>
        <v>1060901454</v>
      </c>
      <c r="E1748" s="3">
        <v>13973.72</v>
      </c>
    </row>
    <row r="1749" spans="1:5" x14ac:dyDescent="0.25">
      <c r="A1749" s="3" t="s">
        <v>5</v>
      </c>
      <c r="B1749" s="3" t="s">
        <v>619</v>
      </c>
      <c r="C1749" s="3" t="s">
        <v>23</v>
      </c>
      <c r="D1749" s="4">
        <f>HYPERLINK("https://cao.dolgi.msk.ru/account/1060879226/", 1060879226)</f>
        <v>1060879226</v>
      </c>
      <c r="E1749" s="3">
        <v>108635.37</v>
      </c>
    </row>
    <row r="1750" spans="1:5" x14ac:dyDescent="0.25">
      <c r="A1750" s="3" t="s">
        <v>5</v>
      </c>
      <c r="B1750" s="3" t="s">
        <v>619</v>
      </c>
      <c r="C1750" s="3" t="s">
        <v>24</v>
      </c>
      <c r="D1750" s="4">
        <f>HYPERLINK("https://cao.dolgi.msk.ru/account/1060879234/", 1060879234)</f>
        <v>1060879234</v>
      </c>
      <c r="E1750" s="3">
        <v>176647.66</v>
      </c>
    </row>
    <row r="1751" spans="1:5" x14ac:dyDescent="0.25">
      <c r="A1751" s="3" t="s">
        <v>5</v>
      </c>
      <c r="B1751" s="3" t="s">
        <v>619</v>
      </c>
      <c r="C1751" s="3" t="s">
        <v>25</v>
      </c>
      <c r="D1751" s="4">
        <f>HYPERLINK("https://cao.dolgi.msk.ru/account/1060901489/", 1060901489)</f>
        <v>1060901489</v>
      </c>
      <c r="E1751" s="3">
        <v>137313.45000000001</v>
      </c>
    </row>
    <row r="1752" spans="1:5" x14ac:dyDescent="0.25">
      <c r="A1752" s="3" t="s">
        <v>5</v>
      </c>
      <c r="B1752" s="3" t="s">
        <v>619</v>
      </c>
      <c r="C1752" s="3" t="s">
        <v>26</v>
      </c>
      <c r="D1752" s="4">
        <f>HYPERLINK("https://cao.dolgi.msk.ru/account/1060879269/", 1060879269)</f>
        <v>1060879269</v>
      </c>
      <c r="E1752" s="3">
        <v>72875.89</v>
      </c>
    </row>
    <row r="1753" spans="1:5" x14ac:dyDescent="0.25">
      <c r="A1753" s="3" t="s">
        <v>5</v>
      </c>
      <c r="B1753" s="3" t="s">
        <v>619</v>
      </c>
      <c r="C1753" s="3" t="s">
        <v>31</v>
      </c>
      <c r="D1753" s="4">
        <f>HYPERLINK("https://cao.dolgi.msk.ru/account/1060879322/", 1060879322)</f>
        <v>1060879322</v>
      </c>
      <c r="E1753" s="3">
        <v>62839.06</v>
      </c>
    </row>
    <row r="1754" spans="1:5" x14ac:dyDescent="0.25">
      <c r="A1754" s="3" t="s">
        <v>5</v>
      </c>
      <c r="B1754" s="3" t="s">
        <v>619</v>
      </c>
      <c r="C1754" s="3" t="s">
        <v>38</v>
      </c>
      <c r="D1754" s="4">
        <f>HYPERLINK("https://cao.dolgi.msk.ru/account/1060901497/", 1060901497)</f>
        <v>1060901497</v>
      </c>
      <c r="E1754" s="3">
        <v>197136.88</v>
      </c>
    </row>
    <row r="1755" spans="1:5" x14ac:dyDescent="0.25">
      <c r="A1755" s="3" t="s">
        <v>5</v>
      </c>
      <c r="B1755" s="3" t="s">
        <v>619</v>
      </c>
      <c r="C1755" s="3" t="s">
        <v>40</v>
      </c>
      <c r="D1755" s="4">
        <f>HYPERLINK("https://cao.dolgi.msk.ru/account/1060879429/", 1060879429)</f>
        <v>1060879429</v>
      </c>
      <c r="E1755" s="3">
        <v>201846.43</v>
      </c>
    </row>
    <row r="1756" spans="1:5" x14ac:dyDescent="0.25">
      <c r="A1756" s="3" t="s">
        <v>5</v>
      </c>
      <c r="B1756" s="3" t="s">
        <v>619</v>
      </c>
      <c r="C1756" s="3" t="s">
        <v>42</v>
      </c>
      <c r="D1756" s="4">
        <f>HYPERLINK("https://cao.dolgi.msk.ru/account/1060879437/", 1060879437)</f>
        <v>1060879437</v>
      </c>
      <c r="E1756" s="3">
        <v>70203.360000000001</v>
      </c>
    </row>
    <row r="1757" spans="1:5" x14ac:dyDescent="0.25">
      <c r="A1757" s="3" t="s">
        <v>5</v>
      </c>
      <c r="B1757" s="3" t="s">
        <v>619</v>
      </c>
      <c r="C1757" s="3" t="s">
        <v>44</v>
      </c>
      <c r="D1757" s="4">
        <f>HYPERLINK("https://cao.dolgi.msk.ru/account/1060877204/", 1060877204)</f>
        <v>1060877204</v>
      </c>
      <c r="E1757" s="3">
        <v>37340.230000000003</v>
      </c>
    </row>
    <row r="1758" spans="1:5" x14ac:dyDescent="0.25">
      <c r="A1758" s="3" t="s">
        <v>5</v>
      </c>
      <c r="B1758" s="3" t="s">
        <v>619</v>
      </c>
      <c r="C1758" s="3" t="s">
        <v>45</v>
      </c>
      <c r="D1758" s="4">
        <f>HYPERLINK("https://cao.dolgi.msk.ru/account/1060896456/", 1060896456)</f>
        <v>1060896456</v>
      </c>
      <c r="E1758" s="3">
        <v>96917.02</v>
      </c>
    </row>
    <row r="1759" spans="1:5" x14ac:dyDescent="0.25">
      <c r="A1759" s="3" t="s">
        <v>5</v>
      </c>
      <c r="B1759" s="3" t="s">
        <v>619</v>
      </c>
      <c r="C1759" s="3" t="s">
        <v>47</v>
      </c>
      <c r="D1759" s="4">
        <f>HYPERLINK("https://cao.dolgi.msk.ru/account/1060870942/", 1060870942)</f>
        <v>1060870942</v>
      </c>
      <c r="E1759" s="3">
        <v>155265.51</v>
      </c>
    </row>
    <row r="1760" spans="1:5" x14ac:dyDescent="0.25">
      <c r="A1760" s="3" t="s">
        <v>5</v>
      </c>
      <c r="B1760" s="3" t="s">
        <v>619</v>
      </c>
      <c r="C1760" s="3" t="s">
        <v>48</v>
      </c>
      <c r="D1760" s="4">
        <f>HYPERLINK("https://cao.dolgi.msk.ru/account/1060901518/", 1060901518)</f>
        <v>1060901518</v>
      </c>
      <c r="E1760" s="3">
        <v>65939.47</v>
      </c>
    </row>
    <row r="1761" spans="1:5" x14ac:dyDescent="0.25">
      <c r="A1761" s="3" t="s">
        <v>5</v>
      </c>
      <c r="B1761" s="3" t="s">
        <v>619</v>
      </c>
      <c r="C1761" s="3" t="s">
        <v>49</v>
      </c>
      <c r="D1761" s="4">
        <f>HYPERLINK("https://cao.dolgi.msk.ru/account/1060889985/", 1060889985)</f>
        <v>1060889985</v>
      </c>
      <c r="E1761" s="3">
        <v>145143.45000000001</v>
      </c>
    </row>
    <row r="1762" spans="1:5" x14ac:dyDescent="0.25">
      <c r="A1762" s="3" t="s">
        <v>5</v>
      </c>
      <c r="B1762" s="3" t="s">
        <v>619</v>
      </c>
      <c r="C1762" s="3" t="s">
        <v>53</v>
      </c>
      <c r="D1762" s="4">
        <f>HYPERLINK("https://cao.dolgi.msk.ru/account/1060901526/", 1060901526)</f>
        <v>1060901526</v>
      </c>
      <c r="E1762" s="3">
        <v>10502.22</v>
      </c>
    </row>
    <row r="1763" spans="1:5" x14ac:dyDescent="0.25">
      <c r="A1763" s="3" t="s">
        <v>5</v>
      </c>
      <c r="B1763" s="3" t="s">
        <v>619</v>
      </c>
      <c r="C1763" s="3" t="s">
        <v>58</v>
      </c>
      <c r="D1763" s="4">
        <f>HYPERLINK("https://cao.dolgi.msk.ru/account/1060879576/", 1060879576)</f>
        <v>1060879576</v>
      </c>
      <c r="E1763" s="3">
        <v>195766.51</v>
      </c>
    </row>
    <row r="1764" spans="1:5" x14ac:dyDescent="0.25">
      <c r="A1764" s="3" t="s">
        <v>5</v>
      </c>
      <c r="B1764" s="3" t="s">
        <v>619</v>
      </c>
      <c r="C1764" s="3" t="s">
        <v>59</v>
      </c>
      <c r="D1764" s="4">
        <f>HYPERLINK("https://cao.dolgi.msk.ru/account/1060901542/", 1060901542)</f>
        <v>1060901542</v>
      </c>
      <c r="E1764" s="3">
        <v>3848.31</v>
      </c>
    </row>
    <row r="1765" spans="1:5" x14ac:dyDescent="0.25">
      <c r="A1765" s="3" t="s">
        <v>5</v>
      </c>
      <c r="B1765" s="3" t="s">
        <v>619</v>
      </c>
      <c r="C1765" s="3" t="s">
        <v>60</v>
      </c>
      <c r="D1765" s="4">
        <f>HYPERLINK("https://cao.dolgi.msk.ru/account/1060879592/", 1060879592)</f>
        <v>1060879592</v>
      </c>
      <c r="E1765" s="3">
        <v>5850</v>
      </c>
    </row>
    <row r="1766" spans="1:5" x14ac:dyDescent="0.25">
      <c r="A1766" s="3" t="s">
        <v>5</v>
      </c>
      <c r="B1766" s="3" t="s">
        <v>619</v>
      </c>
      <c r="C1766" s="3" t="s">
        <v>63</v>
      </c>
      <c r="D1766" s="4">
        <f>HYPERLINK("https://cao.dolgi.msk.ru/account/1060896296/", 1060896296)</f>
        <v>1060896296</v>
      </c>
      <c r="E1766" s="3">
        <v>4906.2700000000004</v>
      </c>
    </row>
    <row r="1767" spans="1:5" x14ac:dyDescent="0.25">
      <c r="A1767" s="3" t="s">
        <v>5</v>
      </c>
      <c r="B1767" s="3" t="s">
        <v>619</v>
      </c>
      <c r="C1767" s="3" t="s">
        <v>64</v>
      </c>
      <c r="D1767" s="4">
        <f>HYPERLINK("https://cao.dolgi.msk.ru/account/1060879613/", 1060879613)</f>
        <v>1060879613</v>
      </c>
      <c r="E1767" s="3">
        <v>49676.52</v>
      </c>
    </row>
    <row r="1768" spans="1:5" x14ac:dyDescent="0.25">
      <c r="A1768" s="3" t="s">
        <v>5</v>
      </c>
      <c r="B1768" s="3" t="s">
        <v>619</v>
      </c>
      <c r="C1768" s="3" t="s">
        <v>65</v>
      </c>
      <c r="D1768" s="4">
        <f>HYPERLINK("https://cao.dolgi.msk.ru/account/1060868316/", 1060868316)</f>
        <v>1060868316</v>
      </c>
      <c r="E1768" s="3">
        <v>5258.39</v>
      </c>
    </row>
    <row r="1769" spans="1:5" x14ac:dyDescent="0.25">
      <c r="A1769" s="3" t="s">
        <v>5</v>
      </c>
      <c r="B1769" s="3" t="s">
        <v>619</v>
      </c>
      <c r="C1769" s="3" t="s">
        <v>66</v>
      </c>
      <c r="D1769" s="4">
        <f>HYPERLINK("https://cao.dolgi.msk.ru/account/1060879621/", 1060879621)</f>
        <v>1060879621</v>
      </c>
      <c r="E1769" s="3">
        <v>17851.5</v>
      </c>
    </row>
    <row r="1770" spans="1:5" x14ac:dyDescent="0.25">
      <c r="A1770" s="3" t="s">
        <v>5</v>
      </c>
      <c r="B1770" s="3" t="s">
        <v>619</v>
      </c>
      <c r="C1770" s="3" t="s">
        <v>73</v>
      </c>
      <c r="D1770" s="4">
        <f>HYPERLINK("https://cao.dolgi.msk.ru/account/1060901569/", 1060901569)</f>
        <v>1060901569</v>
      </c>
      <c r="E1770" s="3">
        <v>108562.69</v>
      </c>
    </row>
    <row r="1771" spans="1:5" x14ac:dyDescent="0.25">
      <c r="A1771" s="3" t="s">
        <v>5</v>
      </c>
      <c r="B1771" s="3" t="s">
        <v>619</v>
      </c>
      <c r="C1771" s="3" t="s">
        <v>74</v>
      </c>
      <c r="D1771" s="4">
        <f>HYPERLINK("https://cao.dolgi.msk.ru/account/1060879664/", 1060879664)</f>
        <v>1060879664</v>
      </c>
      <c r="E1771" s="3">
        <v>173296.12</v>
      </c>
    </row>
    <row r="1772" spans="1:5" x14ac:dyDescent="0.25">
      <c r="A1772" s="3" t="s">
        <v>5</v>
      </c>
      <c r="B1772" s="3" t="s">
        <v>619</v>
      </c>
      <c r="C1772" s="3" t="s">
        <v>77</v>
      </c>
      <c r="D1772" s="4">
        <f>HYPERLINK("https://cao.dolgi.msk.ru/account/1060879701/", 1060879701)</f>
        <v>1060879701</v>
      </c>
      <c r="E1772" s="3">
        <v>95049.39</v>
      </c>
    </row>
    <row r="1773" spans="1:5" x14ac:dyDescent="0.25">
      <c r="A1773" s="3" t="s">
        <v>5</v>
      </c>
      <c r="B1773" s="3" t="s">
        <v>619</v>
      </c>
      <c r="C1773" s="3" t="s">
        <v>78</v>
      </c>
      <c r="D1773" s="4">
        <f>HYPERLINK("https://cao.dolgi.msk.ru/account/1060879728/", 1060879728)</f>
        <v>1060879728</v>
      </c>
      <c r="E1773" s="3">
        <v>57182.5</v>
      </c>
    </row>
    <row r="1774" spans="1:5" x14ac:dyDescent="0.25">
      <c r="A1774" s="3" t="s">
        <v>5</v>
      </c>
      <c r="B1774" s="3" t="s">
        <v>619</v>
      </c>
      <c r="C1774" s="3" t="s">
        <v>83</v>
      </c>
      <c r="D1774" s="4">
        <f>HYPERLINK("https://cao.dolgi.msk.ru/account/1060879752/", 1060879752)</f>
        <v>1060879752</v>
      </c>
      <c r="E1774" s="3">
        <v>173697.33</v>
      </c>
    </row>
    <row r="1775" spans="1:5" x14ac:dyDescent="0.25">
      <c r="A1775" s="3" t="s">
        <v>5</v>
      </c>
      <c r="B1775" s="3" t="s">
        <v>619</v>
      </c>
      <c r="C1775" s="3" t="s">
        <v>84</v>
      </c>
      <c r="D1775" s="4">
        <f>HYPERLINK("https://cao.dolgi.msk.ru/account/1060901577/", 1060901577)</f>
        <v>1060901577</v>
      </c>
      <c r="E1775" s="3">
        <v>123958.54</v>
      </c>
    </row>
    <row r="1776" spans="1:5" x14ac:dyDescent="0.25">
      <c r="A1776" s="3" t="s">
        <v>5</v>
      </c>
      <c r="B1776" s="3" t="s">
        <v>619</v>
      </c>
      <c r="C1776" s="3" t="s">
        <v>144</v>
      </c>
      <c r="D1776" s="4">
        <f>HYPERLINK("https://cao.dolgi.msk.ru/account/1060896667/", 1060896667)</f>
        <v>1060896667</v>
      </c>
      <c r="E1776" s="3">
        <v>19061.419999999998</v>
      </c>
    </row>
    <row r="1777" spans="1:5" x14ac:dyDescent="0.25">
      <c r="A1777" s="3" t="s">
        <v>5</v>
      </c>
      <c r="B1777" s="3" t="s">
        <v>619</v>
      </c>
      <c r="C1777" s="3" t="s">
        <v>94</v>
      </c>
      <c r="D1777" s="4">
        <f>HYPERLINK("https://cao.dolgi.msk.ru/account/1060901585/", 1060901585)</f>
        <v>1060901585</v>
      </c>
      <c r="E1777" s="3">
        <v>88802.14</v>
      </c>
    </row>
    <row r="1778" spans="1:5" x14ac:dyDescent="0.25">
      <c r="A1778" s="3" t="s">
        <v>5</v>
      </c>
      <c r="B1778" s="3" t="s">
        <v>619</v>
      </c>
      <c r="C1778" s="3" t="s">
        <v>97</v>
      </c>
      <c r="D1778" s="4">
        <f>HYPERLINK("https://cao.dolgi.msk.ru/account/1060879912/", 1060879912)</f>
        <v>1060879912</v>
      </c>
      <c r="E1778" s="3">
        <v>5738.48</v>
      </c>
    </row>
    <row r="1779" spans="1:5" x14ac:dyDescent="0.25">
      <c r="A1779" s="3" t="s">
        <v>5</v>
      </c>
      <c r="B1779" s="3" t="s">
        <v>619</v>
      </c>
      <c r="C1779" s="3" t="s">
        <v>98</v>
      </c>
      <c r="D1779" s="4">
        <f>HYPERLINK("https://cao.dolgi.msk.ru/account/1060882302/", 1060882302)</f>
        <v>1060882302</v>
      </c>
      <c r="E1779" s="3">
        <v>4921.38</v>
      </c>
    </row>
    <row r="1780" spans="1:5" x14ac:dyDescent="0.25">
      <c r="A1780" s="3" t="s">
        <v>5</v>
      </c>
      <c r="B1780" s="3" t="s">
        <v>619</v>
      </c>
      <c r="C1780" s="3" t="s">
        <v>146</v>
      </c>
      <c r="D1780" s="4">
        <f>HYPERLINK("https://cao.dolgi.msk.ru/account/1060901606/", 1060901606)</f>
        <v>1060901606</v>
      </c>
      <c r="E1780" s="3">
        <v>230437.14</v>
      </c>
    </row>
    <row r="1781" spans="1:5" x14ac:dyDescent="0.25">
      <c r="A1781" s="3" t="s">
        <v>5</v>
      </c>
      <c r="B1781" s="3" t="s">
        <v>619</v>
      </c>
      <c r="C1781" s="3" t="s">
        <v>104</v>
      </c>
      <c r="D1781" s="4">
        <f>HYPERLINK("https://cao.dolgi.msk.ru/account/1060901593/", 1060901593)</f>
        <v>1060901593</v>
      </c>
      <c r="E1781" s="3">
        <v>232030.42</v>
      </c>
    </row>
    <row r="1782" spans="1:5" x14ac:dyDescent="0.25">
      <c r="A1782" s="3" t="s">
        <v>5</v>
      </c>
      <c r="B1782" s="3" t="s">
        <v>619</v>
      </c>
      <c r="C1782" s="3" t="s">
        <v>106</v>
      </c>
      <c r="D1782" s="4">
        <f>HYPERLINK("https://cao.dolgi.msk.ru/account/1060888982/", 1060888982)</f>
        <v>1060888982</v>
      </c>
      <c r="E1782" s="3">
        <v>10444.06</v>
      </c>
    </row>
    <row r="1783" spans="1:5" x14ac:dyDescent="0.25">
      <c r="A1783" s="3" t="s">
        <v>5</v>
      </c>
      <c r="B1783" s="3" t="s">
        <v>619</v>
      </c>
      <c r="C1783" s="3" t="s">
        <v>112</v>
      </c>
      <c r="D1783" s="4">
        <f>HYPERLINK("https://cao.dolgi.msk.ru/account/1060901649/", 1060901649)</f>
        <v>1060901649</v>
      </c>
      <c r="E1783" s="3">
        <v>121002.67</v>
      </c>
    </row>
    <row r="1784" spans="1:5" x14ac:dyDescent="0.25">
      <c r="A1784" s="3" t="s">
        <v>5</v>
      </c>
      <c r="B1784" s="3" t="s">
        <v>620</v>
      </c>
      <c r="C1784" s="3" t="s">
        <v>133</v>
      </c>
      <c r="D1784" s="4">
        <f>HYPERLINK("https://cao.dolgi.msk.ru/account/1060114573/", 1060114573)</f>
        <v>1060114573</v>
      </c>
      <c r="E1784" s="3">
        <v>8497.02</v>
      </c>
    </row>
    <row r="1785" spans="1:5" x14ac:dyDescent="0.25">
      <c r="A1785" s="3" t="s">
        <v>5</v>
      </c>
      <c r="B1785" s="3" t="s">
        <v>620</v>
      </c>
      <c r="C1785" s="3" t="s">
        <v>133</v>
      </c>
      <c r="D1785" s="4">
        <f>HYPERLINK("https://cao.dolgi.msk.ru/account/1060114581/", 1060114581)</f>
        <v>1060114581</v>
      </c>
      <c r="E1785" s="3">
        <v>10607.89</v>
      </c>
    </row>
    <row r="1786" spans="1:5" x14ac:dyDescent="0.25">
      <c r="A1786" s="3" t="s">
        <v>5</v>
      </c>
      <c r="B1786" s="3" t="s">
        <v>620</v>
      </c>
      <c r="C1786" s="3" t="s">
        <v>134</v>
      </c>
      <c r="D1786" s="4">
        <f>HYPERLINK("https://cao.dolgi.msk.ru/account/1060114629/", 1060114629)</f>
        <v>1060114629</v>
      </c>
      <c r="E1786" s="3">
        <v>230166.25</v>
      </c>
    </row>
    <row r="1787" spans="1:5" x14ac:dyDescent="0.25">
      <c r="A1787" s="3" t="s">
        <v>5</v>
      </c>
      <c r="B1787" s="3" t="s">
        <v>621</v>
      </c>
      <c r="C1787" s="3" t="s">
        <v>9</v>
      </c>
      <c r="D1787" s="4">
        <f>HYPERLINK("https://cao.dolgi.msk.ru/account/1060317944/", 1060317944)</f>
        <v>1060317944</v>
      </c>
      <c r="E1787" s="3">
        <v>13897.04</v>
      </c>
    </row>
    <row r="1788" spans="1:5" x14ac:dyDescent="0.25">
      <c r="A1788" s="3" t="s">
        <v>5</v>
      </c>
      <c r="B1788" s="3" t="s">
        <v>621</v>
      </c>
      <c r="C1788" s="3" t="s">
        <v>139</v>
      </c>
      <c r="D1788" s="4">
        <f>HYPERLINK("https://cao.dolgi.msk.ru/account/1060318074/", 1060318074)</f>
        <v>1060318074</v>
      </c>
      <c r="E1788" s="3">
        <v>29377.01</v>
      </c>
    </row>
    <row r="1789" spans="1:5" x14ac:dyDescent="0.25">
      <c r="A1789" s="3" t="s">
        <v>5</v>
      </c>
      <c r="B1789" s="3" t="s">
        <v>621</v>
      </c>
      <c r="C1789" s="3" t="s">
        <v>10</v>
      </c>
      <c r="D1789" s="4">
        <f>HYPERLINK("https://cao.dolgi.msk.ru/account/1060318154/", 1060318154)</f>
        <v>1060318154</v>
      </c>
      <c r="E1789" s="3">
        <v>9038.08</v>
      </c>
    </row>
    <row r="1790" spans="1:5" x14ac:dyDescent="0.25">
      <c r="A1790" s="3" t="s">
        <v>5</v>
      </c>
      <c r="B1790" s="3" t="s">
        <v>621</v>
      </c>
      <c r="C1790" s="3" t="s">
        <v>28</v>
      </c>
      <c r="D1790" s="4">
        <f>HYPERLINK("https://cao.dolgi.msk.ru/account/1060318373/", 1060318373)</f>
        <v>1060318373</v>
      </c>
      <c r="E1790" s="3">
        <v>13429.99</v>
      </c>
    </row>
    <row r="1791" spans="1:5" x14ac:dyDescent="0.25">
      <c r="A1791" s="3" t="s">
        <v>5</v>
      </c>
      <c r="B1791" s="3" t="s">
        <v>621</v>
      </c>
      <c r="C1791" s="3" t="s">
        <v>41</v>
      </c>
      <c r="D1791" s="4">
        <f>HYPERLINK("https://cao.dolgi.msk.ru/account/1060318533/", 1060318533)</f>
        <v>1060318533</v>
      </c>
      <c r="E1791" s="3">
        <v>119546.69</v>
      </c>
    </row>
    <row r="1792" spans="1:5" x14ac:dyDescent="0.25">
      <c r="A1792" s="3" t="s">
        <v>5</v>
      </c>
      <c r="B1792" s="3" t="s">
        <v>621</v>
      </c>
      <c r="C1792" s="3" t="s">
        <v>41</v>
      </c>
      <c r="D1792" s="4">
        <f>HYPERLINK("https://cao.dolgi.msk.ru/account/1060832604/", 1060832604)</f>
        <v>1060832604</v>
      </c>
      <c r="E1792" s="3">
        <v>47927.88</v>
      </c>
    </row>
    <row r="1793" spans="1:5" x14ac:dyDescent="0.25">
      <c r="A1793" s="3" t="s">
        <v>5</v>
      </c>
      <c r="B1793" s="3" t="s">
        <v>621</v>
      </c>
      <c r="C1793" s="3" t="s">
        <v>58</v>
      </c>
      <c r="D1793" s="4">
        <f>HYPERLINK("https://cao.dolgi.msk.ru/account/1060318779/", 1060318779)</f>
        <v>1060318779</v>
      </c>
      <c r="E1793" s="3">
        <v>12450.81</v>
      </c>
    </row>
    <row r="1794" spans="1:5" x14ac:dyDescent="0.25">
      <c r="A1794" s="3" t="s">
        <v>5</v>
      </c>
      <c r="B1794" s="3" t="s">
        <v>621</v>
      </c>
      <c r="C1794" s="3" t="s">
        <v>66</v>
      </c>
      <c r="D1794" s="4">
        <f>HYPERLINK("https://cao.dolgi.msk.ru/account/1060318867/", 1060318867)</f>
        <v>1060318867</v>
      </c>
      <c r="E1794" s="3">
        <v>85641.19</v>
      </c>
    </row>
    <row r="1795" spans="1:5" x14ac:dyDescent="0.25">
      <c r="A1795" s="3" t="s">
        <v>5</v>
      </c>
      <c r="B1795" s="3" t="s">
        <v>621</v>
      </c>
      <c r="C1795" s="3" t="s">
        <v>72</v>
      </c>
      <c r="D1795" s="4">
        <f>HYPERLINK("https://cao.dolgi.msk.ru/account/1060318875/", 1060318875)</f>
        <v>1060318875</v>
      </c>
      <c r="E1795" s="3">
        <v>8088.04</v>
      </c>
    </row>
    <row r="1796" spans="1:5" x14ac:dyDescent="0.25">
      <c r="A1796" s="3" t="s">
        <v>5</v>
      </c>
      <c r="B1796" s="3" t="s">
        <v>621</v>
      </c>
      <c r="C1796" s="3" t="s">
        <v>77</v>
      </c>
      <c r="D1796" s="4">
        <f>HYPERLINK("https://cao.dolgi.msk.ru/account/1060318939/", 1060318939)</f>
        <v>1060318939</v>
      </c>
      <c r="E1796" s="3">
        <v>153194.94</v>
      </c>
    </row>
    <row r="1797" spans="1:5" x14ac:dyDescent="0.25">
      <c r="A1797" s="3" t="s">
        <v>5</v>
      </c>
      <c r="B1797" s="3" t="s">
        <v>621</v>
      </c>
      <c r="C1797" s="3" t="s">
        <v>81</v>
      </c>
      <c r="D1797" s="4">
        <f>HYPERLINK("https://cao.dolgi.msk.ru/account/1060318971/", 1060318971)</f>
        <v>1060318971</v>
      </c>
      <c r="E1797" s="3">
        <v>6697.14</v>
      </c>
    </row>
    <row r="1798" spans="1:5" x14ac:dyDescent="0.25">
      <c r="A1798" s="3" t="s">
        <v>5</v>
      </c>
      <c r="B1798" s="3" t="s">
        <v>621</v>
      </c>
      <c r="C1798" s="3" t="s">
        <v>83</v>
      </c>
      <c r="D1798" s="4">
        <f>HYPERLINK("https://cao.dolgi.msk.ru/account/1060319026/", 1060319026)</f>
        <v>1060319026</v>
      </c>
      <c r="E1798" s="3">
        <v>12178.35</v>
      </c>
    </row>
    <row r="1799" spans="1:5" x14ac:dyDescent="0.25">
      <c r="A1799" s="3" t="s">
        <v>5</v>
      </c>
      <c r="B1799" s="3" t="s">
        <v>621</v>
      </c>
      <c r="C1799" s="3" t="s">
        <v>86</v>
      </c>
      <c r="D1799" s="4">
        <f>HYPERLINK("https://cao.dolgi.msk.ru/account/1060319069/", 1060319069)</f>
        <v>1060319069</v>
      </c>
      <c r="E1799" s="3">
        <v>10245.65</v>
      </c>
    </row>
    <row r="1800" spans="1:5" x14ac:dyDescent="0.25">
      <c r="A1800" s="3" t="s">
        <v>5</v>
      </c>
      <c r="B1800" s="3" t="s">
        <v>622</v>
      </c>
      <c r="C1800" s="3" t="s">
        <v>8</v>
      </c>
      <c r="D1800" s="4">
        <f>HYPERLINK("https://cao.dolgi.msk.ru/account/1060822203/", 1060822203)</f>
        <v>1060822203</v>
      </c>
      <c r="E1800" s="3">
        <v>3214.11</v>
      </c>
    </row>
    <row r="1801" spans="1:5" x14ac:dyDescent="0.25">
      <c r="A1801" s="3" t="s">
        <v>5</v>
      </c>
      <c r="B1801" s="3" t="s">
        <v>622</v>
      </c>
      <c r="C1801" s="3" t="s">
        <v>623</v>
      </c>
      <c r="D1801" s="4">
        <f>HYPERLINK("https://cao.dolgi.msk.ru/account/1060822385/", 1060822385)</f>
        <v>1060822385</v>
      </c>
      <c r="E1801" s="3">
        <v>20993.15</v>
      </c>
    </row>
    <row r="1802" spans="1:5" x14ac:dyDescent="0.25">
      <c r="A1802" s="3" t="s">
        <v>5</v>
      </c>
      <c r="B1802" s="3" t="s">
        <v>624</v>
      </c>
      <c r="C1802" s="3" t="s">
        <v>138</v>
      </c>
      <c r="D1802" s="4">
        <f>HYPERLINK("https://cao.dolgi.msk.ru/account/1060417013/", 1060417013)</f>
        <v>1060417013</v>
      </c>
      <c r="E1802" s="3">
        <v>4992.4399999999996</v>
      </c>
    </row>
    <row r="1803" spans="1:5" x14ac:dyDescent="0.25">
      <c r="A1803" s="3" t="s">
        <v>5</v>
      </c>
      <c r="B1803" s="3" t="s">
        <v>624</v>
      </c>
      <c r="C1803" s="3" t="s">
        <v>13</v>
      </c>
      <c r="D1803" s="4">
        <f>HYPERLINK("https://cao.dolgi.msk.ru/account/1060417144/", 1060417144)</f>
        <v>1060417144</v>
      </c>
      <c r="E1803" s="3">
        <v>6459.88</v>
      </c>
    </row>
    <row r="1804" spans="1:5" x14ac:dyDescent="0.25">
      <c r="A1804" s="3" t="s">
        <v>5</v>
      </c>
      <c r="B1804" s="3" t="s">
        <v>624</v>
      </c>
      <c r="C1804" s="3" t="s">
        <v>24</v>
      </c>
      <c r="D1804" s="4">
        <f>HYPERLINK("https://cao.dolgi.msk.ru/account/1060417275/", 1060417275)</f>
        <v>1060417275</v>
      </c>
      <c r="E1804" s="3">
        <v>5596.56</v>
      </c>
    </row>
    <row r="1805" spans="1:5" x14ac:dyDescent="0.25">
      <c r="A1805" s="3" t="s">
        <v>5</v>
      </c>
      <c r="B1805" s="3" t="s">
        <v>624</v>
      </c>
      <c r="C1805" s="3" t="s">
        <v>33</v>
      </c>
      <c r="D1805" s="4">
        <f>HYPERLINK("https://cao.dolgi.msk.ru/account/1060417363/", 1060417363)</f>
        <v>1060417363</v>
      </c>
      <c r="E1805" s="3">
        <v>5349.2</v>
      </c>
    </row>
    <row r="1806" spans="1:5" x14ac:dyDescent="0.25">
      <c r="A1806" s="3" t="s">
        <v>5</v>
      </c>
      <c r="B1806" s="3" t="s">
        <v>624</v>
      </c>
      <c r="C1806" s="3" t="s">
        <v>60</v>
      </c>
      <c r="D1806" s="4">
        <f>HYPERLINK("https://cao.dolgi.msk.ru/account/1060895023/", 1060895023)</f>
        <v>1060895023</v>
      </c>
      <c r="E1806" s="3">
        <v>7603.97</v>
      </c>
    </row>
    <row r="1807" spans="1:5" x14ac:dyDescent="0.25">
      <c r="A1807" s="3" t="s">
        <v>5</v>
      </c>
      <c r="B1807" s="3" t="s">
        <v>624</v>
      </c>
      <c r="C1807" s="3" t="s">
        <v>62</v>
      </c>
      <c r="D1807" s="4">
        <f>HYPERLINK("https://cao.dolgi.msk.ru/account/1060417734/", 1060417734)</f>
        <v>1060417734</v>
      </c>
      <c r="E1807" s="3">
        <v>3705.59</v>
      </c>
    </row>
    <row r="1808" spans="1:5" x14ac:dyDescent="0.25">
      <c r="A1808" s="3" t="s">
        <v>5</v>
      </c>
      <c r="B1808" s="3" t="s">
        <v>625</v>
      </c>
      <c r="C1808" s="3" t="s">
        <v>34</v>
      </c>
      <c r="D1808" s="4">
        <f>HYPERLINK("https://cao.dolgi.msk.ru/account/1060418729/", 1060418729)</f>
        <v>1060418729</v>
      </c>
      <c r="E1808" s="3">
        <v>8402.4599999999991</v>
      </c>
    </row>
    <row r="1809" spans="1:5" x14ac:dyDescent="0.25">
      <c r="A1809" s="3" t="s">
        <v>5</v>
      </c>
      <c r="B1809" s="3" t="s">
        <v>625</v>
      </c>
      <c r="C1809" s="3" t="s">
        <v>49</v>
      </c>
      <c r="D1809" s="4">
        <f>HYPERLINK("https://cao.dolgi.msk.ru/account/1060418892/", 1060418892)</f>
        <v>1060418892</v>
      </c>
      <c r="E1809" s="3">
        <v>5891.38</v>
      </c>
    </row>
    <row r="1810" spans="1:5" x14ac:dyDescent="0.25">
      <c r="A1810" s="3" t="s">
        <v>5</v>
      </c>
      <c r="B1810" s="3" t="s">
        <v>625</v>
      </c>
      <c r="C1810" s="3" t="s">
        <v>49</v>
      </c>
      <c r="D1810" s="4">
        <f>HYPERLINK("https://cao.dolgi.msk.ru/account/1060418913/", 1060418913)</f>
        <v>1060418913</v>
      </c>
      <c r="E1810" s="3">
        <v>31628.66</v>
      </c>
    </row>
    <row r="1811" spans="1:5" x14ac:dyDescent="0.25">
      <c r="A1811" s="3" t="s">
        <v>5</v>
      </c>
      <c r="B1811" s="3" t="s">
        <v>625</v>
      </c>
      <c r="C1811" s="3" t="s">
        <v>77</v>
      </c>
      <c r="D1811" s="4">
        <f>HYPERLINK("https://cao.dolgi.msk.ru/account/1060419211/", 1060419211)</f>
        <v>1060419211</v>
      </c>
      <c r="E1811" s="3">
        <v>8839.14</v>
      </c>
    </row>
    <row r="1812" spans="1:5" x14ac:dyDescent="0.25">
      <c r="A1812" s="3" t="s">
        <v>5</v>
      </c>
      <c r="B1812" s="3" t="s">
        <v>625</v>
      </c>
      <c r="C1812" s="3" t="s">
        <v>87</v>
      </c>
      <c r="D1812" s="4">
        <f>HYPERLINK("https://cao.dolgi.msk.ru/account/1060419342/", 1060419342)</f>
        <v>1060419342</v>
      </c>
      <c r="E1812" s="3">
        <v>7998.89</v>
      </c>
    </row>
    <row r="1813" spans="1:5" x14ac:dyDescent="0.25">
      <c r="A1813" s="3" t="s">
        <v>5</v>
      </c>
      <c r="B1813" s="3" t="s">
        <v>625</v>
      </c>
      <c r="C1813" s="3" t="s">
        <v>91</v>
      </c>
      <c r="D1813" s="4">
        <f>HYPERLINK("https://cao.dolgi.msk.ru/account/1060419385/", 1060419385)</f>
        <v>1060419385</v>
      </c>
      <c r="E1813" s="3">
        <v>19547.61</v>
      </c>
    </row>
    <row r="1814" spans="1:5" x14ac:dyDescent="0.25">
      <c r="A1814" s="3" t="s">
        <v>5</v>
      </c>
      <c r="B1814" s="3" t="s">
        <v>625</v>
      </c>
      <c r="C1814" s="3" t="s">
        <v>107</v>
      </c>
      <c r="D1814" s="4">
        <f>HYPERLINK("https://cao.dolgi.msk.ru/account/1060419617/", 1060419617)</f>
        <v>1060419617</v>
      </c>
      <c r="E1814" s="3">
        <v>133364.21</v>
      </c>
    </row>
    <row r="1815" spans="1:5" x14ac:dyDescent="0.25">
      <c r="A1815" s="3" t="s">
        <v>5</v>
      </c>
      <c r="B1815" s="3" t="s">
        <v>626</v>
      </c>
      <c r="C1815" s="3" t="s">
        <v>133</v>
      </c>
      <c r="D1815" s="4">
        <f>HYPERLINK("https://cao.dolgi.msk.ru/account/1060319157/", 1060319157)</f>
        <v>1060319157</v>
      </c>
      <c r="E1815" s="3">
        <v>5800.4</v>
      </c>
    </row>
    <row r="1816" spans="1:5" x14ac:dyDescent="0.25">
      <c r="A1816" s="3" t="s">
        <v>5</v>
      </c>
      <c r="B1816" s="3" t="s">
        <v>626</v>
      </c>
      <c r="C1816" s="3" t="s">
        <v>138</v>
      </c>
      <c r="D1816" s="4">
        <f>HYPERLINK("https://cao.dolgi.msk.ru/account/1060319229/", 1060319229)</f>
        <v>1060319229</v>
      </c>
      <c r="E1816" s="3">
        <v>20685.169999999998</v>
      </c>
    </row>
    <row r="1817" spans="1:5" x14ac:dyDescent="0.25">
      <c r="A1817" s="3" t="s">
        <v>5</v>
      </c>
      <c r="B1817" s="3" t="s">
        <v>626</v>
      </c>
      <c r="C1817" s="3" t="s">
        <v>15</v>
      </c>
      <c r="D1817" s="4">
        <f>HYPERLINK("https://cao.dolgi.msk.ru/account/1060319376/", 1060319376)</f>
        <v>1060319376</v>
      </c>
      <c r="E1817" s="3">
        <v>16416.990000000002</v>
      </c>
    </row>
    <row r="1818" spans="1:5" x14ac:dyDescent="0.25">
      <c r="A1818" s="3" t="s">
        <v>5</v>
      </c>
      <c r="B1818" s="3" t="s">
        <v>626</v>
      </c>
      <c r="C1818" s="3" t="s">
        <v>31</v>
      </c>
      <c r="D1818" s="4">
        <f>HYPERLINK("https://cao.dolgi.msk.ru/account/1060319579/", 1060319579)</f>
        <v>1060319579</v>
      </c>
      <c r="E1818" s="3">
        <v>8703.7999999999993</v>
      </c>
    </row>
    <row r="1819" spans="1:5" x14ac:dyDescent="0.25">
      <c r="A1819" s="3" t="s">
        <v>5</v>
      </c>
      <c r="B1819" s="3" t="s">
        <v>626</v>
      </c>
      <c r="C1819" s="3" t="s">
        <v>38</v>
      </c>
      <c r="D1819" s="4">
        <f>HYPERLINK("https://cao.dolgi.msk.ru/account/1060319659/", 1060319659)</f>
        <v>1060319659</v>
      </c>
      <c r="E1819" s="3">
        <v>33612.85</v>
      </c>
    </row>
    <row r="1820" spans="1:5" x14ac:dyDescent="0.25">
      <c r="A1820" s="3" t="s">
        <v>5</v>
      </c>
      <c r="B1820" s="3" t="s">
        <v>626</v>
      </c>
      <c r="C1820" s="3" t="s">
        <v>46</v>
      </c>
      <c r="D1820" s="4">
        <f>HYPERLINK("https://cao.dolgi.msk.ru/account/1060319755/", 1060319755)</f>
        <v>1060319755</v>
      </c>
      <c r="E1820" s="3">
        <v>213795.33</v>
      </c>
    </row>
    <row r="1821" spans="1:5" x14ac:dyDescent="0.25">
      <c r="A1821" s="3" t="s">
        <v>5</v>
      </c>
      <c r="B1821" s="3" t="s">
        <v>626</v>
      </c>
      <c r="C1821" s="3" t="s">
        <v>66</v>
      </c>
      <c r="D1821" s="4">
        <f>HYPERLINK("https://cao.dolgi.msk.ru/account/1060320035/", 1060320035)</f>
        <v>1060320035</v>
      </c>
      <c r="E1821" s="3">
        <v>12934.93</v>
      </c>
    </row>
    <row r="1822" spans="1:5" x14ac:dyDescent="0.25">
      <c r="A1822" s="3" t="s">
        <v>5</v>
      </c>
      <c r="B1822" s="3" t="s">
        <v>626</v>
      </c>
      <c r="C1822" s="3" t="s">
        <v>80</v>
      </c>
      <c r="D1822" s="4">
        <f>HYPERLINK("https://cao.dolgi.msk.ru/account/1060320182/", 1060320182)</f>
        <v>1060320182</v>
      </c>
      <c r="E1822" s="3">
        <v>103671.13</v>
      </c>
    </row>
    <row r="1823" spans="1:5" x14ac:dyDescent="0.25">
      <c r="A1823" s="3" t="s">
        <v>5</v>
      </c>
      <c r="B1823" s="3" t="s">
        <v>626</v>
      </c>
      <c r="C1823" s="3" t="s">
        <v>91</v>
      </c>
      <c r="D1823" s="4">
        <f>HYPERLINK("https://cao.dolgi.msk.ru/account/1060320334/", 1060320334)</f>
        <v>1060320334</v>
      </c>
      <c r="E1823" s="3">
        <v>46248.9</v>
      </c>
    </row>
    <row r="1824" spans="1:5" x14ac:dyDescent="0.25">
      <c r="A1824" s="3" t="s">
        <v>5</v>
      </c>
      <c r="B1824" s="3" t="s">
        <v>626</v>
      </c>
      <c r="C1824" s="3" t="s">
        <v>108</v>
      </c>
      <c r="D1824" s="4">
        <f>HYPERLINK("https://cao.dolgi.msk.ru/account/1060822692/", 1060822692)</f>
        <v>1060822692</v>
      </c>
      <c r="E1824" s="3">
        <v>64332.6</v>
      </c>
    </row>
    <row r="1825" spans="1:5" x14ac:dyDescent="0.25">
      <c r="A1825" s="3" t="s">
        <v>5</v>
      </c>
      <c r="B1825" s="3" t="s">
        <v>627</v>
      </c>
      <c r="C1825" s="3" t="s">
        <v>9</v>
      </c>
      <c r="D1825" s="4">
        <f>HYPERLINK("https://cao.dolgi.msk.ru/account/1060419764/", 1060419764)</f>
        <v>1060419764</v>
      </c>
      <c r="E1825" s="3">
        <v>48283.38</v>
      </c>
    </row>
    <row r="1826" spans="1:5" x14ac:dyDescent="0.25">
      <c r="A1826" s="3" t="s">
        <v>5</v>
      </c>
      <c r="B1826" s="3" t="s">
        <v>627</v>
      </c>
      <c r="C1826" s="3" t="s">
        <v>134</v>
      </c>
      <c r="D1826" s="4">
        <f>HYPERLINK("https://cao.dolgi.msk.ru/account/1060419836/", 1060419836)</f>
        <v>1060419836</v>
      </c>
      <c r="E1826" s="3">
        <v>9114.5400000000009</v>
      </c>
    </row>
    <row r="1827" spans="1:5" x14ac:dyDescent="0.25">
      <c r="A1827" s="3" t="s">
        <v>5</v>
      </c>
      <c r="B1827" s="3" t="s">
        <v>627</v>
      </c>
      <c r="C1827" s="3" t="s">
        <v>136</v>
      </c>
      <c r="D1827" s="4">
        <f>HYPERLINK("https://cao.dolgi.msk.ru/account/1060419852/", 1060419852)</f>
        <v>1060419852</v>
      </c>
      <c r="E1827" s="3">
        <v>8040.49</v>
      </c>
    </row>
    <row r="1828" spans="1:5" x14ac:dyDescent="0.25">
      <c r="A1828" s="3" t="s">
        <v>5</v>
      </c>
      <c r="B1828" s="3" t="s">
        <v>627</v>
      </c>
      <c r="C1828" s="3" t="s">
        <v>46</v>
      </c>
      <c r="D1828" s="4">
        <f>HYPERLINK("https://cao.dolgi.msk.ru/account/1060420386/", 1060420386)</f>
        <v>1060420386</v>
      </c>
      <c r="E1828" s="3">
        <v>137395.06</v>
      </c>
    </row>
    <row r="1829" spans="1:5" x14ac:dyDescent="0.25">
      <c r="A1829" s="3" t="s">
        <v>5</v>
      </c>
      <c r="B1829" s="3" t="s">
        <v>627</v>
      </c>
      <c r="C1829" s="3" t="s">
        <v>78</v>
      </c>
      <c r="D1829" s="4">
        <f>HYPERLINK("https://cao.dolgi.msk.ru/account/1060420706/", 1060420706)</f>
        <v>1060420706</v>
      </c>
      <c r="E1829" s="3">
        <v>125453.47</v>
      </c>
    </row>
    <row r="1830" spans="1:5" x14ac:dyDescent="0.25">
      <c r="A1830" s="3" t="s">
        <v>5</v>
      </c>
      <c r="B1830" s="3" t="s">
        <v>627</v>
      </c>
      <c r="C1830" s="3" t="s">
        <v>79</v>
      </c>
      <c r="D1830" s="4">
        <f>HYPERLINK("https://cao.dolgi.msk.ru/account/1060420714/", 1060420714)</f>
        <v>1060420714</v>
      </c>
      <c r="E1830" s="3">
        <v>41836.480000000003</v>
      </c>
    </row>
    <row r="1831" spans="1:5" x14ac:dyDescent="0.25">
      <c r="A1831" s="3" t="s">
        <v>5</v>
      </c>
      <c r="B1831" s="3" t="s">
        <v>628</v>
      </c>
      <c r="C1831" s="3" t="s">
        <v>91</v>
      </c>
      <c r="D1831" s="4">
        <f>HYPERLINK("https://cao.dolgi.msk.ru/account/1060420861/", 1060420861)</f>
        <v>1060420861</v>
      </c>
      <c r="E1831" s="3">
        <v>57887.15</v>
      </c>
    </row>
    <row r="1832" spans="1:5" x14ac:dyDescent="0.25">
      <c r="A1832" s="3" t="s">
        <v>5</v>
      </c>
      <c r="B1832" s="3" t="s">
        <v>628</v>
      </c>
      <c r="C1832" s="3" t="s">
        <v>93</v>
      </c>
      <c r="D1832" s="4">
        <f>HYPERLINK("https://cao.dolgi.msk.ru/account/1060420896/", 1060420896)</f>
        <v>1060420896</v>
      </c>
      <c r="E1832" s="3">
        <v>7030.92</v>
      </c>
    </row>
    <row r="1833" spans="1:5" x14ac:dyDescent="0.25">
      <c r="A1833" s="3" t="s">
        <v>5</v>
      </c>
      <c r="B1833" s="3" t="s">
        <v>628</v>
      </c>
      <c r="C1833" s="3" t="s">
        <v>95</v>
      </c>
      <c r="D1833" s="4">
        <f>HYPERLINK("https://cao.dolgi.msk.ru/account/1060420917/", 1060420917)</f>
        <v>1060420917</v>
      </c>
      <c r="E1833" s="3">
        <v>14262.55</v>
      </c>
    </row>
    <row r="1834" spans="1:5" x14ac:dyDescent="0.25">
      <c r="A1834" s="3" t="s">
        <v>5</v>
      </c>
      <c r="B1834" s="3" t="s">
        <v>628</v>
      </c>
      <c r="C1834" s="3" t="s">
        <v>97</v>
      </c>
      <c r="D1834" s="4">
        <f>HYPERLINK("https://cao.dolgi.msk.ru/account/1060420933/", 1060420933)</f>
        <v>1060420933</v>
      </c>
      <c r="E1834" s="3">
        <v>7552.26</v>
      </c>
    </row>
    <row r="1835" spans="1:5" x14ac:dyDescent="0.25">
      <c r="A1835" s="3" t="s">
        <v>5</v>
      </c>
      <c r="B1835" s="3" t="s">
        <v>628</v>
      </c>
      <c r="C1835" s="3" t="s">
        <v>152</v>
      </c>
      <c r="D1835" s="4">
        <f>HYPERLINK("https://cao.dolgi.msk.ru/account/1060421258/", 1060421258)</f>
        <v>1060421258</v>
      </c>
      <c r="E1835" s="3">
        <v>6413.52</v>
      </c>
    </row>
    <row r="1836" spans="1:5" x14ac:dyDescent="0.25">
      <c r="A1836" s="3" t="s">
        <v>5</v>
      </c>
      <c r="B1836" s="3" t="s">
        <v>628</v>
      </c>
      <c r="C1836" s="3" t="s">
        <v>156</v>
      </c>
      <c r="D1836" s="4">
        <f>HYPERLINK("https://cao.dolgi.msk.ru/account/1060421303/", 1060421303)</f>
        <v>1060421303</v>
      </c>
      <c r="E1836" s="3">
        <v>19904.439999999999</v>
      </c>
    </row>
    <row r="1837" spans="1:5" x14ac:dyDescent="0.25">
      <c r="A1837" s="3" t="s">
        <v>5</v>
      </c>
      <c r="B1837" s="3" t="s">
        <v>628</v>
      </c>
      <c r="C1837" s="3" t="s">
        <v>170</v>
      </c>
      <c r="D1837" s="4">
        <f>HYPERLINK("https://cao.dolgi.msk.ru/account/1060421485/", 1060421485)</f>
        <v>1060421485</v>
      </c>
      <c r="E1837" s="3">
        <v>4655.92</v>
      </c>
    </row>
    <row r="1838" spans="1:5" x14ac:dyDescent="0.25">
      <c r="A1838" s="3" t="s">
        <v>5</v>
      </c>
      <c r="B1838" s="3" t="s">
        <v>628</v>
      </c>
      <c r="C1838" s="3" t="s">
        <v>175</v>
      </c>
      <c r="D1838" s="4">
        <f>HYPERLINK("https://cao.dolgi.msk.ru/account/1060421549/", 1060421549)</f>
        <v>1060421549</v>
      </c>
      <c r="E1838" s="3">
        <v>17924.41</v>
      </c>
    </row>
    <row r="1839" spans="1:5" x14ac:dyDescent="0.25">
      <c r="A1839" s="3" t="s">
        <v>5</v>
      </c>
      <c r="B1839" s="3" t="s">
        <v>628</v>
      </c>
      <c r="C1839" s="3" t="s">
        <v>183</v>
      </c>
      <c r="D1839" s="4">
        <f>HYPERLINK("https://cao.dolgi.msk.ru/account/1060421645/", 1060421645)</f>
        <v>1060421645</v>
      </c>
      <c r="E1839" s="3">
        <v>15526.2</v>
      </c>
    </row>
    <row r="1840" spans="1:5" x14ac:dyDescent="0.25">
      <c r="A1840" s="3" t="s">
        <v>5</v>
      </c>
      <c r="B1840" s="3" t="s">
        <v>628</v>
      </c>
      <c r="C1840" s="3" t="s">
        <v>185</v>
      </c>
      <c r="D1840" s="4">
        <f>HYPERLINK("https://cao.dolgi.msk.ru/account/1060421661/", 1060421661)</f>
        <v>1060421661</v>
      </c>
      <c r="E1840" s="3">
        <v>10802.54</v>
      </c>
    </row>
    <row r="1841" spans="1:5" x14ac:dyDescent="0.25">
      <c r="A1841" s="3" t="s">
        <v>5</v>
      </c>
      <c r="B1841" s="3" t="s">
        <v>628</v>
      </c>
      <c r="C1841" s="3" t="s">
        <v>189</v>
      </c>
      <c r="D1841" s="4">
        <f>HYPERLINK("https://cao.dolgi.msk.ru/account/1060421717/", 1060421717)</f>
        <v>1060421717</v>
      </c>
      <c r="E1841" s="3">
        <v>3999.19</v>
      </c>
    </row>
    <row r="1842" spans="1:5" x14ac:dyDescent="0.25">
      <c r="A1842" s="3" t="s">
        <v>5</v>
      </c>
      <c r="B1842" s="3" t="s">
        <v>629</v>
      </c>
      <c r="C1842" s="3" t="s">
        <v>8</v>
      </c>
      <c r="D1842" s="4">
        <f>HYPERLINK("https://cao.dolgi.msk.ru/account/1060320633/", 1060320633)</f>
        <v>1060320633</v>
      </c>
      <c r="E1842" s="3">
        <v>17412.45</v>
      </c>
    </row>
    <row r="1843" spans="1:5" x14ac:dyDescent="0.25">
      <c r="A1843" s="3" t="s">
        <v>5</v>
      </c>
      <c r="B1843" s="3" t="s">
        <v>629</v>
      </c>
      <c r="C1843" s="3" t="s">
        <v>89</v>
      </c>
      <c r="D1843" s="4">
        <f>HYPERLINK("https://cao.dolgi.msk.ru/account/1060320692/", 1060320692)</f>
        <v>1060320692</v>
      </c>
      <c r="E1843" s="3">
        <v>12164.91</v>
      </c>
    </row>
    <row r="1844" spans="1:5" x14ac:dyDescent="0.25">
      <c r="A1844" s="3" t="s">
        <v>5</v>
      </c>
      <c r="B1844" s="3" t="s">
        <v>629</v>
      </c>
      <c r="C1844" s="3" t="s">
        <v>137</v>
      </c>
      <c r="D1844" s="4">
        <f>HYPERLINK("https://cao.dolgi.msk.ru/account/1060320772/", 1060320772)</f>
        <v>1060320772</v>
      </c>
      <c r="E1844" s="3">
        <v>13551.36</v>
      </c>
    </row>
    <row r="1845" spans="1:5" x14ac:dyDescent="0.25">
      <c r="A1845" s="3" t="s">
        <v>5</v>
      </c>
      <c r="B1845" s="3" t="s">
        <v>629</v>
      </c>
      <c r="C1845" s="3" t="s">
        <v>142</v>
      </c>
      <c r="D1845" s="4">
        <f>HYPERLINK("https://cao.dolgi.msk.ru/account/1060320844/", 1060320844)</f>
        <v>1060320844</v>
      </c>
      <c r="E1845" s="3">
        <v>22790.06</v>
      </c>
    </row>
    <row r="1846" spans="1:5" x14ac:dyDescent="0.25">
      <c r="A1846" s="3" t="s">
        <v>5</v>
      </c>
      <c r="B1846" s="3" t="s">
        <v>629</v>
      </c>
      <c r="C1846" s="3" t="s">
        <v>33</v>
      </c>
      <c r="D1846" s="4">
        <f>HYPERLINK("https://cao.dolgi.msk.ru/account/1060321222/", 1060321222)</f>
        <v>1060321222</v>
      </c>
      <c r="E1846" s="3">
        <v>93873.85</v>
      </c>
    </row>
    <row r="1847" spans="1:5" x14ac:dyDescent="0.25">
      <c r="A1847" s="3" t="s">
        <v>5</v>
      </c>
      <c r="B1847" s="3" t="s">
        <v>629</v>
      </c>
      <c r="C1847" s="3" t="s">
        <v>38</v>
      </c>
      <c r="D1847" s="4">
        <f>HYPERLINK("https://cao.dolgi.msk.ru/account/1060321302/", 1060321302)</f>
        <v>1060321302</v>
      </c>
      <c r="E1847" s="3">
        <v>5660.3</v>
      </c>
    </row>
    <row r="1848" spans="1:5" x14ac:dyDescent="0.25">
      <c r="A1848" s="3" t="s">
        <v>5</v>
      </c>
      <c r="B1848" s="3" t="s">
        <v>629</v>
      </c>
      <c r="C1848" s="3" t="s">
        <v>41</v>
      </c>
      <c r="D1848" s="4">
        <f>HYPERLINK("https://cao.dolgi.msk.ru/account/1060321345/", 1060321345)</f>
        <v>1060321345</v>
      </c>
      <c r="E1848" s="3">
        <v>19793.240000000002</v>
      </c>
    </row>
    <row r="1849" spans="1:5" x14ac:dyDescent="0.25">
      <c r="A1849" s="3" t="s">
        <v>5</v>
      </c>
      <c r="B1849" s="3" t="s">
        <v>629</v>
      </c>
      <c r="C1849" s="3" t="s">
        <v>44</v>
      </c>
      <c r="D1849" s="4">
        <f>HYPERLINK("https://cao.dolgi.msk.ru/account/1060321388/", 1060321388)</f>
        <v>1060321388</v>
      </c>
      <c r="E1849" s="3">
        <v>18112.79</v>
      </c>
    </row>
    <row r="1850" spans="1:5" x14ac:dyDescent="0.25">
      <c r="A1850" s="3" t="s">
        <v>5</v>
      </c>
      <c r="B1850" s="3" t="s">
        <v>629</v>
      </c>
      <c r="C1850" s="3" t="s">
        <v>45</v>
      </c>
      <c r="D1850" s="4">
        <f>HYPERLINK("https://cao.dolgi.msk.ru/account/1060321396/", 1060321396)</f>
        <v>1060321396</v>
      </c>
      <c r="E1850" s="3">
        <v>54816.95</v>
      </c>
    </row>
    <row r="1851" spans="1:5" x14ac:dyDescent="0.25">
      <c r="A1851" s="3" t="s">
        <v>5</v>
      </c>
      <c r="B1851" s="3" t="s">
        <v>629</v>
      </c>
      <c r="C1851" s="3" t="s">
        <v>48</v>
      </c>
      <c r="D1851" s="4">
        <f>HYPERLINK("https://cao.dolgi.msk.ru/account/1060321441/", 1060321441)</f>
        <v>1060321441</v>
      </c>
      <c r="E1851" s="3">
        <v>64876.41</v>
      </c>
    </row>
    <row r="1852" spans="1:5" x14ac:dyDescent="0.25">
      <c r="A1852" s="3" t="s">
        <v>5</v>
      </c>
      <c r="B1852" s="3" t="s">
        <v>629</v>
      </c>
      <c r="C1852" s="3" t="s">
        <v>48</v>
      </c>
      <c r="D1852" s="4">
        <f>HYPERLINK("https://cao.dolgi.msk.ru/account/1060321468/", 1060321468)</f>
        <v>1060321468</v>
      </c>
      <c r="E1852" s="3">
        <v>218633.31</v>
      </c>
    </row>
    <row r="1853" spans="1:5" x14ac:dyDescent="0.25">
      <c r="A1853" s="3" t="s">
        <v>5</v>
      </c>
      <c r="B1853" s="3" t="s">
        <v>629</v>
      </c>
      <c r="C1853" s="3" t="s">
        <v>52</v>
      </c>
      <c r="D1853" s="4">
        <f>HYPERLINK("https://cao.dolgi.msk.ru/account/1060321505/", 1060321505)</f>
        <v>1060321505</v>
      </c>
      <c r="E1853" s="3">
        <v>390018.07</v>
      </c>
    </row>
    <row r="1854" spans="1:5" x14ac:dyDescent="0.25">
      <c r="A1854" s="3" t="s">
        <v>5</v>
      </c>
      <c r="B1854" s="3" t="s">
        <v>629</v>
      </c>
      <c r="C1854" s="3" t="s">
        <v>53</v>
      </c>
      <c r="D1854" s="4">
        <f>HYPERLINK("https://cao.dolgi.msk.ru/account/1060321513/", 1060321513)</f>
        <v>1060321513</v>
      </c>
      <c r="E1854" s="3">
        <v>26412.87</v>
      </c>
    </row>
    <row r="1855" spans="1:5" x14ac:dyDescent="0.25">
      <c r="A1855" s="3" t="s">
        <v>5</v>
      </c>
      <c r="B1855" s="3" t="s">
        <v>629</v>
      </c>
      <c r="C1855" s="3" t="s">
        <v>60</v>
      </c>
      <c r="D1855" s="4">
        <f>HYPERLINK("https://cao.dolgi.msk.ru/account/1060321652/", 1060321652)</f>
        <v>1060321652</v>
      </c>
      <c r="E1855" s="3">
        <v>47587.61</v>
      </c>
    </row>
    <row r="1856" spans="1:5" x14ac:dyDescent="0.25">
      <c r="A1856" s="3" t="s">
        <v>5</v>
      </c>
      <c r="B1856" s="3" t="s">
        <v>629</v>
      </c>
      <c r="C1856" s="3" t="s">
        <v>63</v>
      </c>
      <c r="D1856" s="4">
        <f>HYPERLINK("https://cao.dolgi.msk.ru/account/1060321695/", 1060321695)</f>
        <v>1060321695</v>
      </c>
      <c r="E1856" s="3">
        <v>8971.48</v>
      </c>
    </row>
    <row r="1857" spans="1:5" x14ac:dyDescent="0.25">
      <c r="A1857" s="3" t="s">
        <v>5</v>
      </c>
      <c r="B1857" s="3" t="s">
        <v>629</v>
      </c>
      <c r="C1857" s="3" t="s">
        <v>79</v>
      </c>
      <c r="D1857" s="4">
        <f>HYPERLINK("https://cao.dolgi.msk.ru/account/1060321839/", 1060321839)</f>
        <v>1060321839</v>
      </c>
      <c r="E1857" s="3">
        <v>14997.89</v>
      </c>
    </row>
    <row r="1858" spans="1:5" x14ac:dyDescent="0.25">
      <c r="A1858" s="3" t="s">
        <v>5</v>
      </c>
      <c r="B1858" s="3" t="s">
        <v>629</v>
      </c>
      <c r="C1858" s="3" t="s">
        <v>98</v>
      </c>
      <c r="D1858" s="4">
        <f>HYPERLINK("https://cao.dolgi.msk.ru/account/1060322129/", 1060322129)</f>
        <v>1060322129</v>
      </c>
      <c r="E1858" s="3">
        <v>124813.99</v>
      </c>
    </row>
    <row r="1859" spans="1:5" x14ac:dyDescent="0.25">
      <c r="A1859" s="3" t="s">
        <v>5</v>
      </c>
      <c r="B1859" s="3" t="s">
        <v>629</v>
      </c>
      <c r="C1859" s="3" t="s">
        <v>99</v>
      </c>
      <c r="D1859" s="4">
        <f>HYPERLINK("https://cao.dolgi.msk.ru/account/1060322137/", 1060322137)</f>
        <v>1060322137</v>
      </c>
      <c r="E1859" s="3">
        <v>19325.310000000001</v>
      </c>
    </row>
    <row r="1860" spans="1:5" x14ac:dyDescent="0.25">
      <c r="A1860" s="3" t="s">
        <v>5</v>
      </c>
      <c r="B1860" s="3" t="s">
        <v>629</v>
      </c>
      <c r="C1860" s="3" t="s">
        <v>100</v>
      </c>
      <c r="D1860" s="4">
        <f>HYPERLINK("https://cao.dolgi.msk.ru/account/1060322145/", 1060322145)</f>
        <v>1060322145</v>
      </c>
      <c r="E1860" s="3">
        <v>47853.36</v>
      </c>
    </row>
    <row r="1861" spans="1:5" x14ac:dyDescent="0.25">
      <c r="A1861" s="3" t="s">
        <v>5</v>
      </c>
      <c r="B1861" s="3" t="s">
        <v>629</v>
      </c>
      <c r="C1861" s="3" t="s">
        <v>103</v>
      </c>
      <c r="D1861" s="4">
        <f>HYPERLINK("https://cao.dolgi.msk.ru/account/1060322188/", 1060322188)</f>
        <v>1060322188</v>
      </c>
      <c r="E1861" s="3">
        <v>121138.38</v>
      </c>
    </row>
    <row r="1862" spans="1:5" x14ac:dyDescent="0.25">
      <c r="A1862" s="3" t="s">
        <v>5</v>
      </c>
      <c r="B1862" s="3" t="s">
        <v>629</v>
      </c>
      <c r="C1862" s="3" t="s">
        <v>110</v>
      </c>
      <c r="D1862" s="4">
        <f>HYPERLINK("https://cao.dolgi.msk.ru/account/1060322292/", 1060322292)</f>
        <v>1060322292</v>
      </c>
      <c r="E1862" s="3">
        <v>75193.179999999993</v>
      </c>
    </row>
    <row r="1863" spans="1:5" x14ac:dyDescent="0.25">
      <c r="A1863" s="3" t="s">
        <v>5</v>
      </c>
      <c r="B1863" s="3" t="s">
        <v>629</v>
      </c>
      <c r="C1863" s="3" t="s">
        <v>115</v>
      </c>
      <c r="D1863" s="4">
        <f>HYPERLINK("https://cao.dolgi.msk.ru/account/1060824241/", 1060824241)</f>
        <v>1060824241</v>
      </c>
      <c r="E1863" s="3">
        <v>23259.4</v>
      </c>
    </row>
    <row r="1864" spans="1:5" x14ac:dyDescent="0.25">
      <c r="A1864" s="3" t="s">
        <v>5</v>
      </c>
      <c r="B1864" s="3" t="s">
        <v>629</v>
      </c>
      <c r="C1864" s="3" t="s">
        <v>152</v>
      </c>
      <c r="D1864" s="4">
        <f>HYPERLINK("https://cao.dolgi.msk.ru/account/1060322428/", 1060322428)</f>
        <v>1060322428</v>
      </c>
      <c r="E1864" s="3">
        <v>5542.59</v>
      </c>
    </row>
    <row r="1865" spans="1:5" x14ac:dyDescent="0.25">
      <c r="A1865" s="3" t="s">
        <v>5</v>
      </c>
      <c r="B1865" s="3" t="s">
        <v>629</v>
      </c>
      <c r="C1865" s="3" t="s">
        <v>154</v>
      </c>
      <c r="D1865" s="4">
        <f>HYPERLINK("https://cao.dolgi.msk.ru/account/1060322444/", 1060322444)</f>
        <v>1060322444</v>
      </c>
      <c r="E1865" s="3">
        <v>8081.12</v>
      </c>
    </row>
    <row r="1866" spans="1:5" x14ac:dyDescent="0.25">
      <c r="A1866" s="3" t="s">
        <v>5</v>
      </c>
      <c r="B1866" s="3" t="s">
        <v>629</v>
      </c>
      <c r="C1866" s="3" t="s">
        <v>157</v>
      </c>
      <c r="D1866" s="4">
        <f>HYPERLINK("https://cao.dolgi.msk.ru/account/1060322487/", 1060322487)</f>
        <v>1060322487</v>
      </c>
      <c r="E1866" s="3">
        <v>10569.66</v>
      </c>
    </row>
    <row r="1867" spans="1:5" x14ac:dyDescent="0.25">
      <c r="A1867" s="3" t="s">
        <v>5</v>
      </c>
      <c r="B1867" s="3" t="s">
        <v>630</v>
      </c>
      <c r="C1867" s="3" t="s">
        <v>10</v>
      </c>
      <c r="D1867" s="4">
        <f>HYPERLINK("https://cao.dolgi.msk.ru/account/1060421979/", 1060421979)</f>
        <v>1060421979</v>
      </c>
      <c r="E1867" s="3">
        <v>93301.99</v>
      </c>
    </row>
    <row r="1868" spans="1:5" x14ac:dyDescent="0.25">
      <c r="A1868" s="3" t="s">
        <v>5</v>
      </c>
      <c r="B1868" s="3" t="s">
        <v>630</v>
      </c>
      <c r="C1868" s="3" t="s">
        <v>39</v>
      </c>
      <c r="D1868" s="4">
        <f>HYPERLINK("https://cao.dolgi.msk.ru/account/1060422314/", 1060422314)</f>
        <v>1060422314</v>
      </c>
      <c r="E1868" s="3">
        <v>4530.45</v>
      </c>
    </row>
    <row r="1869" spans="1:5" x14ac:dyDescent="0.25">
      <c r="A1869" s="3" t="s">
        <v>5</v>
      </c>
      <c r="B1869" s="3" t="s">
        <v>630</v>
      </c>
      <c r="C1869" s="3" t="s">
        <v>46</v>
      </c>
      <c r="D1869" s="4">
        <f>HYPERLINK("https://cao.dolgi.msk.ru/account/1060422402/", 1060422402)</f>
        <v>1060422402</v>
      </c>
      <c r="E1869" s="3">
        <v>4275.1099999999997</v>
      </c>
    </row>
    <row r="1870" spans="1:5" x14ac:dyDescent="0.25">
      <c r="A1870" s="3" t="s">
        <v>5</v>
      </c>
      <c r="B1870" s="3" t="s">
        <v>630</v>
      </c>
      <c r="C1870" s="3" t="s">
        <v>59</v>
      </c>
      <c r="D1870" s="4">
        <f>HYPERLINK("https://cao.dolgi.msk.ru/account/1060877538/", 1060877538)</f>
        <v>1060877538</v>
      </c>
      <c r="E1870" s="3">
        <v>3550.94</v>
      </c>
    </row>
    <row r="1871" spans="1:5" x14ac:dyDescent="0.25">
      <c r="A1871" s="3" t="s">
        <v>5</v>
      </c>
      <c r="B1871" s="3" t="s">
        <v>630</v>
      </c>
      <c r="C1871" s="3" t="s">
        <v>61</v>
      </c>
      <c r="D1871" s="4">
        <f>HYPERLINK("https://cao.dolgi.msk.ru/account/1060422576/", 1060422576)</f>
        <v>1060422576</v>
      </c>
      <c r="E1871" s="3">
        <v>9901.98</v>
      </c>
    </row>
    <row r="1872" spans="1:5" x14ac:dyDescent="0.25">
      <c r="A1872" s="3" t="s">
        <v>5</v>
      </c>
      <c r="B1872" s="3" t="s">
        <v>630</v>
      </c>
      <c r="C1872" s="3" t="s">
        <v>73</v>
      </c>
      <c r="D1872" s="4">
        <f>HYPERLINK("https://cao.dolgi.msk.ru/account/1060422656/", 1060422656)</f>
        <v>1060422656</v>
      </c>
      <c r="E1872" s="3">
        <v>15531.01</v>
      </c>
    </row>
    <row r="1873" spans="1:5" x14ac:dyDescent="0.25">
      <c r="A1873" s="3" t="s">
        <v>5</v>
      </c>
      <c r="B1873" s="3" t="s">
        <v>630</v>
      </c>
      <c r="C1873" s="3" t="s">
        <v>79</v>
      </c>
      <c r="D1873" s="4">
        <f>HYPERLINK("https://cao.dolgi.msk.ru/account/1060422736/", 1060422736)</f>
        <v>1060422736</v>
      </c>
      <c r="E1873" s="3">
        <v>98267.26</v>
      </c>
    </row>
    <row r="1874" spans="1:5" x14ac:dyDescent="0.25">
      <c r="A1874" s="3" t="s">
        <v>5</v>
      </c>
      <c r="B1874" s="3" t="s">
        <v>631</v>
      </c>
      <c r="C1874" s="3" t="s">
        <v>21</v>
      </c>
      <c r="D1874" s="4">
        <f>HYPERLINK("https://cao.dolgi.msk.ru/account/1069148278/", 1069148278)</f>
        <v>1069148278</v>
      </c>
      <c r="E1874" s="3">
        <v>105773.62</v>
      </c>
    </row>
    <row r="1875" spans="1:5" x14ac:dyDescent="0.25">
      <c r="A1875" s="3" t="s">
        <v>5</v>
      </c>
      <c r="B1875" s="3" t="s">
        <v>631</v>
      </c>
      <c r="C1875" s="3" t="s">
        <v>28</v>
      </c>
      <c r="D1875" s="4">
        <f>HYPERLINK("https://cao.dolgi.msk.ru/account/1069143821/", 1069143821)</f>
        <v>1069143821</v>
      </c>
      <c r="E1875" s="3">
        <v>274158.46999999997</v>
      </c>
    </row>
    <row r="1876" spans="1:5" x14ac:dyDescent="0.25">
      <c r="A1876" s="3" t="s">
        <v>5</v>
      </c>
      <c r="B1876" s="3" t="s">
        <v>631</v>
      </c>
      <c r="C1876" s="3" t="s">
        <v>38</v>
      </c>
      <c r="D1876" s="4">
        <f>HYPERLINK("https://cao.dolgi.msk.ru/account/1060815679/", 1060815679)</f>
        <v>1060815679</v>
      </c>
      <c r="E1876" s="3">
        <v>4245.67</v>
      </c>
    </row>
    <row r="1877" spans="1:5" x14ac:dyDescent="0.25">
      <c r="A1877" s="3" t="s">
        <v>5</v>
      </c>
      <c r="B1877" s="3" t="s">
        <v>631</v>
      </c>
      <c r="C1877" s="3" t="s">
        <v>39</v>
      </c>
      <c r="D1877" s="4">
        <f>HYPERLINK("https://cao.dolgi.msk.ru/account/1060815804/", 1060815804)</f>
        <v>1060815804</v>
      </c>
      <c r="E1877" s="3">
        <v>9035.85</v>
      </c>
    </row>
    <row r="1878" spans="1:5" x14ac:dyDescent="0.25">
      <c r="A1878" s="3" t="s">
        <v>5</v>
      </c>
      <c r="B1878" s="3" t="s">
        <v>631</v>
      </c>
      <c r="C1878" s="3" t="s">
        <v>42</v>
      </c>
      <c r="D1878" s="4">
        <f>HYPERLINK("https://cao.dolgi.msk.ru/account/1069148331/", 1069148331)</f>
        <v>1069148331</v>
      </c>
      <c r="E1878" s="3">
        <v>160107.44</v>
      </c>
    </row>
    <row r="1879" spans="1:5" x14ac:dyDescent="0.25">
      <c r="A1879" s="3" t="s">
        <v>5</v>
      </c>
      <c r="B1879" s="3" t="s">
        <v>631</v>
      </c>
      <c r="C1879" s="3" t="s">
        <v>58</v>
      </c>
      <c r="D1879" s="4">
        <f>HYPERLINK("https://cao.dolgi.msk.ru/account/1069147988/", 1069147988)</f>
        <v>1069147988</v>
      </c>
      <c r="E1879" s="3">
        <v>79496.31</v>
      </c>
    </row>
    <row r="1880" spans="1:5" x14ac:dyDescent="0.25">
      <c r="A1880" s="3" t="s">
        <v>5</v>
      </c>
      <c r="B1880" s="3" t="s">
        <v>631</v>
      </c>
      <c r="C1880" s="3" t="s">
        <v>77</v>
      </c>
      <c r="D1880" s="4">
        <f>HYPERLINK("https://cao.dolgi.msk.ru/account/1060824014/", 1060824014)</f>
        <v>1060824014</v>
      </c>
      <c r="E1880" s="3">
        <v>61631.55</v>
      </c>
    </row>
    <row r="1881" spans="1:5" x14ac:dyDescent="0.25">
      <c r="A1881" s="3" t="s">
        <v>5</v>
      </c>
      <c r="B1881" s="3" t="s">
        <v>631</v>
      </c>
      <c r="C1881" s="3" t="s">
        <v>100</v>
      </c>
      <c r="D1881" s="4">
        <f>HYPERLINK("https://cao.dolgi.msk.ru/account/1060817498/", 1060817498)</f>
        <v>1060817498</v>
      </c>
      <c r="E1881" s="3">
        <v>41192.28</v>
      </c>
    </row>
    <row r="1882" spans="1:5" x14ac:dyDescent="0.25">
      <c r="A1882" s="3" t="s">
        <v>5</v>
      </c>
      <c r="B1882" s="3" t="s">
        <v>631</v>
      </c>
      <c r="C1882" s="3" t="s">
        <v>171</v>
      </c>
      <c r="D1882" s="4">
        <f>HYPERLINK("https://cao.dolgi.msk.ru/account/1069147996/", 1069147996)</f>
        <v>1069147996</v>
      </c>
      <c r="E1882" s="3">
        <v>31136.6</v>
      </c>
    </row>
    <row r="1883" spans="1:5" x14ac:dyDescent="0.25">
      <c r="A1883" s="3" t="s">
        <v>5</v>
      </c>
      <c r="B1883" s="3" t="s">
        <v>631</v>
      </c>
      <c r="C1883" s="3" t="s">
        <v>174</v>
      </c>
      <c r="D1883" s="4">
        <f>HYPERLINK("https://cao.dolgi.msk.ru/account/1069142087/", 1069142087)</f>
        <v>1069142087</v>
      </c>
      <c r="E1883" s="3">
        <v>12032.12</v>
      </c>
    </row>
    <row r="1884" spans="1:5" x14ac:dyDescent="0.25">
      <c r="A1884" s="3" t="s">
        <v>5</v>
      </c>
      <c r="B1884" s="3" t="s">
        <v>631</v>
      </c>
      <c r="C1884" s="3" t="s">
        <v>210</v>
      </c>
      <c r="D1884" s="4">
        <f>HYPERLINK("https://cao.dolgi.msk.ru/account/1060817906/", 1060817906)</f>
        <v>1060817906</v>
      </c>
      <c r="E1884" s="3">
        <v>6017.82</v>
      </c>
    </row>
    <row r="1885" spans="1:5" x14ac:dyDescent="0.25">
      <c r="A1885" s="3" t="s">
        <v>5</v>
      </c>
      <c r="B1885" s="3" t="s">
        <v>631</v>
      </c>
      <c r="C1885" s="3" t="s">
        <v>222</v>
      </c>
      <c r="D1885" s="4">
        <f>HYPERLINK("https://cao.dolgi.msk.ru/account/1060818917/", 1060818917)</f>
        <v>1060818917</v>
      </c>
      <c r="E1885" s="3">
        <v>9783.34</v>
      </c>
    </row>
    <row r="1886" spans="1:5" x14ac:dyDescent="0.25">
      <c r="A1886" s="3" t="s">
        <v>5</v>
      </c>
      <c r="B1886" s="3" t="s">
        <v>631</v>
      </c>
      <c r="C1886" s="3" t="s">
        <v>225</v>
      </c>
      <c r="D1886" s="4">
        <f>HYPERLINK("https://cao.dolgi.msk.ru/account/1060818271/", 1060818271)</f>
        <v>1060818271</v>
      </c>
      <c r="E1886" s="3">
        <v>6012.42</v>
      </c>
    </row>
    <row r="1887" spans="1:5" x14ac:dyDescent="0.25">
      <c r="A1887" s="3" t="s">
        <v>5</v>
      </c>
      <c r="B1887" s="3" t="s">
        <v>631</v>
      </c>
      <c r="C1887" s="3" t="s">
        <v>230</v>
      </c>
      <c r="D1887" s="4">
        <f>HYPERLINK("https://cao.dolgi.msk.ru/account/1069148411/", 1069148411)</f>
        <v>1069148411</v>
      </c>
      <c r="E1887" s="3">
        <v>4216.2299999999996</v>
      </c>
    </row>
    <row r="1888" spans="1:5" x14ac:dyDescent="0.25">
      <c r="A1888" s="3" t="s">
        <v>5</v>
      </c>
      <c r="B1888" s="3" t="s">
        <v>631</v>
      </c>
      <c r="C1888" s="3" t="s">
        <v>237</v>
      </c>
      <c r="D1888" s="4">
        <f>HYPERLINK("https://cao.dolgi.msk.ru/account/1069143186/", 1069143186)</f>
        <v>1069143186</v>
      </c>
      <c r="E1888" s="3">
        <v>8850.35</v>
      </c>
    </row>
    <row r="1889" spans="1:5" x14ac:dyDescent="0.25">
      <c r="A1889" s="3" t="s">
        <v>5</v>
      </c>
      <c r="B1889" s="3" t="s">
        <v>631</v>
      </c>
      <c r="C1889" s="3" t="s">
        <v>260</v>
      </c>
      <c r="D1889" s="4">
        <f>HYPERLINK("https://cao.dolgi.msk.ru/account/1069147048/", 1069147048)</f>
        <v>1069147048</v>
      </c>
      <c r="E1889" s="3">
        <v>9184.3700000000008</v>
      </c>
    </row>
    <row r="1890" spans="1:5" x14ac:dyDescent="0.25">
      <c r="A1890" s="3" t="s">
        <v>5</v>
      </c>
      <c r="B1890" s="3" t="s">
        <v>631</v>
      </c>
      <c r="C1890" s="3" t="s">
        <v>261</v>
      </c>
      <c r="D1890" s="4">
        <f>HYPERLINK("https://cao.dolgi.msk.ru/account/1060816102/", 1060816102)</f>
        <v>1060816102</v>
      </c>
      <c r="E1890" s="3">
        <v>153977.78</v>
      </c>
    </row>
    <row r="1891" spans="1:5" x14ac:dyDescent="0.25">
      <c r="A1891" s="3" t="s">
        <v>5</v>
      </c>
      <c r="B1891" s="3" t="s">
        <v>631</v>
      </c>
      <c r="C1891" s="3" t="s">
        <v>272</v>
      </c>
      <c r="D1891" s="4">
        <f>HYPERLINK("https://cao.dolgi.msk.ru/account/1069143557/", 1069143557)</f>
        <v>1069143557</v>
      </c>
      <c r="E1891" s="3">
        <v>7329.81</v>
      </c>
    </row>
    <row r="1892" spans="1:5" x14ac:dyDescent="0.25">
      <c r="A1892" s="3" t="s">
        <v>5</v>
      </c>
      <c r="B1892" s="3" t="s">
        <v>631</v>
      </c>
      <c r="C1892" s="3" t="s">
        <v>276</v>
      </c>
      <c r="D1892" s="4">
        <f>HYPERLINK("https://cao.dolgi.msk.ru/account/1060816639/", 1060816639)</f>
        <v>1060816639</v>
      </c>
      <c r="E1892" s="3">
        <v>9023.0300000000007</v>
      </c>
    </row>
    <row r="1893" spans="1:5" x14ac:dyDescent="0.25">
      <c r="A1893" s="3" t="s">
        <v>5</v>
      </c>
      <c r="B1893" s="3" t="s">
        <v>631</v>
      </c>
      <c r="C1893" s="3" t="s">
        <v>278</v>
      </c>
      <c r="D1893" s="4">
        <f>HYPERLINK("https://cao.dolgi.msk.ru/account/1069148438/", 1069148438)</f>
        <v>1069148438</v>
      </c>
      <c r="E1893" s="3">
        <v>29046.959999999999</v>
      </c>
    </row>
    <row r="1894" spans="1:5" x14ac:dyDescent="0.25">
      <c r="A1894" s="3" t="s">
        <v>5</v>
      </c>
      <c r="B1894" s="3" t="s">
        <v>631</v>
      </c>
      <c r="C1894" s="3" t="s">
        <v>287</v>
      </c>
      <c r="D1894" s="4">
        <f>HYPERLINK("https://cao.dolgi.msk.ru/account/1060816647/", 1060816647)</f>
        <v>1060816647</v>
      </c>
      <c r="E1894" s="3">
        <v>7240.78</v>
      </c>
    </row>
    <row r="1895" spans="1:5" x14ac:dyDescent="0.25">
      <c r="A1895" s="3" t="s">
        <v>5</v>
      </c>
      <c r="B1895" s="3" t="s">
        <v>631</v>
      </c>
      <c r="C1895" s="3" t="s">
        <v>290</v>
      </c>
      <c r="D1895" s="4">
        <f>HYPERLINK("https://cao.dolgi.msk.ru/account/1060816911/", 1060816911)</f>
        <v>1060816911</v>
      </c>
      <c r="E1895" s="3">
        <v>10446.370000000001</v>
      </c>
    </row>
    <row r="1896" spans="1:5" x14ac:dyDescent="0.25">
      <c r="A1896" s="3" t="s">
        <v>5</v>
      </c>
      <c r="B1896" s="3" t="s">
        <v>631</v>
      </c>
      <c r="C1896" s="3" t="s">
        <v>70</v>
      </c>
      <c r="D1896" s="4">
        <f>HYPERLINK("https://cao.dolgi.msk.ru/account/1069146993/", 1069146993)</f>
        <v>1069146993</v>
      </c>
      <c r="E1896" s="3">
        <v>168505.5</v>
      </c>
    </row>
    <row r="1897" spans="1:5" x14ac:dyDescent="0.25">
      <c r="A1897" s="3" t="s">
        <v>5</v>
      </c>
      <c r="B1897" s="3" t="s">
        <v>631</v>
      </c>
      <c r="C1897" s="3" t="s">
        <v>124</v>
      </c>
      <c r="D1897" s="4">
        <f>HYPERLINK("https://cao.dolgi.msk.ru/account/1069147363/", 1069147363)</f>
        <v>1069147363</v>
      </c>
      <c r="E1897" s="3">
        <v>12423.68</v>
      </c>
    </row>
    <row r="1898" spans="1:5" x14ac:dyDescent="0.25">
      <c r="A1898" s="3" t="s">
        <v>5</v>
      </c>
      <c r="B1898" s="3" t="s">
        <v>631</v>
      </c>
      <c r="C1898" s="3" t="s">
        <v>314</v>
      </c>
      <c r="D1898" s="4">
        <f>HYPERLINK("https://cao.dolgi.msk.ru/account/1060815943/", 1060815943)</f>
        <v>1060815943</v>
      </c>
      <c r="E1898" s="3">
        <v>6955.54</v>
      </c>
    </row>
    <row r="1899" spans="1:5" x14ac:dyDescent="0.25">
      <c r="A1899" s="3" t="s">
        <v>5</v>
      </c>
      <c r="B1899" s="3" t="s">
        <v>631</v>
      </c>
      <c r="C1899" s="3" t="s">
        <v>316</v>
      </c>
      <c r="D1899" s="4">
        <f>HYPERLINK("https://cao.dolgi.msk.ru/account/1069143741/", 1069143741)</f>
        <v>1069143741</v>
      </c>
      <c r="E1899" s="3">
        <v>26631.759999999998</v>
      </c>
    </row>
    <row r="1900" spans="1:5" x14ac:dyDescent="0.25">
      <c r="A1900" s="3" t="s">
        <v>5</v>
      </c>
      <c r="B1900" s="3" t="s">
        <v>632</v>
      </c>
      <c r="C1900" s="3" t="s">
        <v>9</v>
      </c>
      <c r="D1900" s="4">
        <f>HYPERLINK("https://cao.dolgi.msk.ru/account/1060330583/", 1060330583)</f>
        <v>1060330583</v>
      </c>
      <c r="E1900" s="3">
        <v>303642.59999999998</v>
      </c>
    </row>
    <row r="1901" spans="1:5" x14ac:dyDescent="0.25">
      <c r="A1901" s="3" t="s">
        <v>5</v>
      </c>
      <c r="B1901" s="3" t="s">
        <v>632</v>
      </c>
      <c r="C1901" s="3" t="s">
        <v>134</v>
      </c>
      <c r="D1901" s="4">
        <f>HYPERLINK("https://cao.dolgi.msk.ru/account/1060330647/", 1060330647)</f>
        <v>1060330647</v>
      </c>
      <c r="E1901" s="3">
        <v>12838.16</v>
      </c>
    </row>
    <row r="1902" spans="1:5" x14ac:dyDescent="0.25">
      <c r="A1902" s="3" t="s">
        <v>5</v>
      </c>
      <c r="B1902" s="3" t="s">
        <v>632</v>
      </c>
      <c r="C1902" s="3" t="s">
        <v>137</v>
      </c>
      <c r="D1902" s="4">
        <f>HYPERLINK("https://cao.dolgi.msk.ru/account/1060330671/", 1060330671)</f>
        <v>1060330671</v>
      </c>
      <c r="E1902" s="3">
        <v>16550.939999999999</v>
      </c>
    </row>
    <row r="1903" spans="1:5" x14ac:dyDescent="0.25">
      <c r="A1903" s="3" t="s">
        <v>5</v>
      </c>
      <c r="B1903" s="3" t="s">
        <v>632</v>
      </c>
      <c r="C1903" s="3" t="s">
        <v>23</v>
      </c>
      <c r="D1903" s="4">
        <f>HYPERLINK("https://cao.dolgi.msk.ru/account/1060330946/", 1060330946)</f>
        <v>1060330946</v>
      </c>
      <c r="E1903" s="3">
        <v>163570.59</v>
      </c>
    </row>
    <row r="1904" spans="1:5" x14ac:dyDescent="0.25">
      <c r="A1904" s="3" t="s">
        <v>5</v>
      </c>
      <c r="B1904" s="3" t="s">
        <v>632</v>
      </c>
      <c r="C1904" s="3" t="s">
        <v>26</v>
      </c>
      <c r="D1904" s="4">
        <f>HYPERLINK("https://cao.dolgi.msk.ru/account/1060331009/", 1060331009)</f>
        <v>1060331009</v>
      </c>
      <c r="E1904" s="3">
        <v>8883.9599999999991</v>
      </c>
    </row>
    <row r="1905" spans="1:5" x14ac:dyDescent="0.25">
      <c r="A1905" s="3" t="s">
        <v>5</v>
      </c>
      <c r="B1905" s="3" t="s">
        <v>632</v>
      </c>
      <c r="C1905" s="3" t="s">
        <v>31</v>
      </c>
      <c r="D1905" s="4">
        <f>HYPERLINK("https://cao.dolgi.msk.ru/account/1060331041/", 1060331041)</f>
        <v>1060331041</v>
      </c>
      <c r="E1905" s="3">
        <v>5373.97</v>
      </c>
    </row>
    <row r="1906" spans="1:5" x14ac:dyDescent="0.25">
      <c r="A1906" s="3" t="s">
        <v>5</v>
      </c>
      <c r="B1906" s="3" t="s">
        <v>632</v>
      </c>
      <c r="C1906" s="3" t="s">
        <v>45</v>
      </c>
      <c r="D1906" s="4">
        <f>HYPERLINK("https://cao.dolgi.msk.ru/account/1060859348/", 1060859348)</f>
        <v>1060859348</v>
      </c>
      <c r="E1906" s="3">
        <v>57373.53</v>
      </c>
    </row>
    <row r="1907" spans="1:5" x14ac:dyDescent="0.25">
      <c r="A1907" s="3" t="s">
        <v>5</v>
      </c>
      <c r="B1907" s="3" t="s">
        <v>632</v>
      </c>
      <c r="C1907" s="3" t="s">
        <v>53</v>
      </c>
      <c r="D1907" s="4">
        <f>HYPERLINK("https://cao.dolgi.msk.ru/account/1060331308/", 1060331308)</f>
        <v>1060331308</v>
      </c>
      <c r="E1907" s="3">
        <v>7295.48</v>
      </c>
    </row>
    <row r="1908" spans="1:5" x14ac:dyDescent="0.25">
      <c r="A1908" s="3" t="s">
        <v>5</v>
      </c>
      <c r="B1908" s="3" t="s">
        <v>632</v>
      </c>
      <c r="C1908" s="3" t="s">
        <v>56</v>
      </c>
      <c r="D1908" s="4">
        <f>HYPERLINK("https://cao.dolgi.msk.ru/account/1060331332/", 1060331332)</f>
        <v>1060331332</v>
      </c>
      <c r="E1908" s="3">
        <v>160586.97</v>
      </c>
    </row>
    <row r="1909" spans="1:5" x14ac:dyDescent="0.25">
      <c r="A1909" s="3" t="s">
        <v>5</v>
      </c>
      <c r="B1909" s="3" t="s">
        <v>632</v>
      </c>
      <c r="C1909" s="3" t="s">
        <v>61</v>
      </c>
      <c r="D1909" s="4">
        <f>HYPERLINK("https://cao.dolgi.msk.ru/account/1060331391/", 1060331391)</f>
        <v>1060331391</v>
      </c>
      <c r="E1909" s="3">
        <v>7769.28</v>
      </c>
    </row>
    <row r="1910" spans="1:5" x14ac:dyDescent="0.25">
      <c r="A1910" s="3" t="s">
        <v>5</v>
      </c>
      <c r="B1910" s="3" t="s">
        <v>632</v>
      </c>
      <c r="C1910" s="3" t="s">
        <v>61</v>
      </c>
      <c r="D1910" s="4">
        <f>HYPERLINK("https://cao.dolgi.msk.ru/account/1060778505/", 1060778505)</f>
        <v>1060778505</v>
      </c>
      <c r="E1910" s="3">
        <v>32537.279999999999</v>
      </c>
    </row>
    <row r="1911" spans="1:5" x14ac:dyDescent="0.25">
      <c r="A1911" s="3" t="s">
        <v>5</v>
      </c>
      <c r="B1911" s="3" t="s">
        <v>632</v>
      </c>
      <c r="C1911" s="3" t="s">
        <v>91</v>
      </c>
      <c r="D1911" s="4">
        <f>HYPERLINK("https://cao.dolgi.msk.ru/account/1060903994/", 1060903994)</f>
        <v>1060903994</v>
      </c>
      <c r="E1911" s="3">
        <v>4407.57</v>
      </c>
    </row>
    <row r="1912" spans="1:5" x14ac:dyDescent="0.25">
      <c r="A1912" s="3" t="s">
        <v>5</v>
      </c>
      <c r="B1912" s="3" t="s">
        <v>632</v>
      </c>
      <c r="C1912" s="3" t="s">
        <v>98</v>
      </c>
      <c r="D1912" s="4">
        <f>HYPERLINK("https://cao.dolgi.msk.ru/account/1060331797/", 1060331797)</f>
        <v>1060331797</v>
      </c>
      <c r="E1912" s="3">
        <v>9081.44</v>
      </c>
    </row>
    <row r="1913" spans="1:5" x14ac:dyDescent="0.25">
      <c r="A1913" s="3" t="s">
        <v>5</v>
      </c>
      <c r="B1913" s="3" t="s">
        <v>632</v>
      </c>
      <c r="C1913" s="3" t="s">
        <v>102</v>
      </c>
      <c r="D1913" s="4">
        <f>HYPERLINK("https://cao.dolgi.msk.ru/account/1060331842/", 1060331842)</f>
        <v>1060331842</v>
      </c>
      <c r="E1913" s="3">
        <v>129352.89</v>
      </c>
    </row>
    <row r="1914" spans="1:5" x14ac:dyDescent="0.25">
      <c r="A1914" s="3" t="s">
        <v>5</v>
      </c>
      <c r="B1914" s="3" t="s">
        <v>632</v>
      </c>
      <c r="C1914" s="3" t="s">
        <v>111</v>
      </c>
      <c r="D1914" s="4">
        <f>HYPERLINK("https://cao.dolgi.msk.ru/account/1060331981/", 1060331981)</f>
        <v>1060331981</v>
      </c>
      <c r="E1914" s="3">
        <v>14593.37</v>
      </c>
    </row>
    <row r="1915" spans="1:5" x14ac:dyDescent="0.25">
      <c r="A1915" s="3" t="s">
        <v>5</v>
      </c>
      <c r="B1915" s="3" t="s">
        <v>632</v>
      </c>
      <c r="C1915" s="3" t="s">
        <v>155</v>
      </c>
      <c r="D1915" s="4">
        <f>HYPERLINK("https://cao.dolgi.msk.ru/account/1060332132/", 1060332132)</f>
        <v>1060332132</v>
      </c>
      <c r="E1915" s="3">
        <v>16045.11</v>
      </c>
    </row>
    <row r="1916" spans="1:5" x14ac:dyDescent="0.25">
      <c r="A1916" s="3" t="s">
        <v>5</v>
      </c>
      <c r="B1916" s="3" t="s">
        <v>632</v>
      </c>
      <c r="C1916" s="3" t="s">
        <v>157</v>
      </c>
      <c r="D1916" s="4">
        <f>HYPERLINK("https://cao.dolgi.msk.ru/account/1060332167/", 1060332167)</f>
        <v>1060332167</v>
      </c>
      <c r="E1916" s="3">
        <v>110492.48</v>
      </c>
    </row>
    <row r="1917" spans="1:5" x14ac:dyDescent="0.25">
      <c r="A1917" s="3" t="s">
        <v>5</v>
      </c>
      <c r="B1917" s="3" t="s">
        <v>632</v>
      </c>
      <c r="C1917" s="3" t="s">
        <v>164</v>
      </c>
      <c r="D1917" s="4">
        <f>HYPERLINK("https://cao.dolgi.msk.ru/account/1060332247/", 1060332247)</f>
        <v>1060332247</v>
      </c>
      <c r="E1917" s="3">
        <v>56942.59</v>
      </c>
    </row>
    <row r="1918" spans="1:5" x14ac:dyDescent="0.25">
      <c r="A1918" s="3" t="s">
        <v>5</v>
      </c>
      <c r="B1918" s="3" t="s">
        <v>632</v>
      </c>
      <c r="C1918" s="3" t="s">
        <v>181</v>
      </c>
      <c r="D1918" s="4">
        <f>HYPERLINK("https://cao.dolgi.msk.ru/account/1060332458/", 1060332458)</f>
        <v>1060332458</v>
      </c>
      <c r="E1918" s="3">
        <v>157523.91</v>
      </c>
    </row>
    <row r="1919" spans="1:5" x14ac:dyDescent="0.25">
      <c r="A1919" s="3" t="s">
        <v>5</v>
      </c>
      <c r="B1919" s="3" t="s">
        <v>633</v>
      </c>
      <c r="C1919" s="3" t="s">
        <v>8</v>
      </c>
      <c r="D1919" s="4">
        <f>HYPERLINK("https://cao.dolgi.msk.ru/account/1060422779/", 1060422779)</f>
        <v>1060422779</v>
      </c>
      <c r="E1919" s="3">
        <v>29786.77</v>
      </c>
    </row>
    <row r="1920" spans="1:5" x14ac:dyDescent="0.25">
      <c r="A1920" s="3" t="s">
        <v>5</v>
      </c>
      <c r="B1920" s="3" t="s">
        <v>633</v>
      </c>
      <c r="C1920" s="3" t="s">
        <v>141</v>
      </c>
      <c r="D1920" s="4">
        <f>HYPERLINK("https://cao.dolgi.msk.ru/account/1060422955/", 1060422955)</f>
        <v>1060422955</v>
      </c>
      <c r="E1920" s="3">
        <v>126014.67</v>
      </c>
    </row>
    <row r="1921" spans="1:5" x14ac:dyDescent="0.25">
      <c r="A1921" s="3" t="s">
        <v>5</v>
      </c>
      <c r="B1921" s="3" t="s">
        <v>633</v>
      </c>
      <c r="C1921" s="3" t="s">
        <v>10</v>
      </c>
      <c r="D1921" s="4">
        <f>HYPERLINK("https://cao.dolgi.msk.ru/account/1060423018/", 1060423018)</f>
        <v>1060423018</v>
      </c>
      <c r="E1921" s="3">
        <v>236796.94</v>
      </c>
    </row>
    <row r="1922" spans="1:5" x14ac:dyDescent="0.25">
      <c r="A1922" s="3" t="s">
        <v>5</v>
      </c>
      <c r="B1922" s="3" t="s">
        <v>633</v>
      </c>
      <c r="C1922" s="3" t="s">
        <v>12</v>
      </c>
      <c r="D1922" s="4">
        <f>HYPERLINK("https://cao.dolgi.msk.ru/account/1060423034/", 1060423034)</f>
        <v>1060423034</v>
      </c>
      <c r="E1922" s="3">
        <v>124039.67</v>
      </c>
    </row>
    <row r="1923" spans="1:5" x14ac:dyDescent="0.25">
      <c r="A1923" s="3" t="s">
        <v>5</v>
      </c>
      <c r="B1923" s="3" t="s">
        <v>633</v>
      </c>
      <c r="C1923" s="3" t="s">
        <v>35</v>
      </c>
      <c r="D1923" s="4">
        <f>HYPERLINK("https://cao.dolgi.msk.ru/account/1060423309/", 1060423309)</f>
        <v>1060423309</v>
      </c>
      <c r="E1923" s="3">
        <v>5317.76</v>
      </c>
    </row>
    <row r="1924" spans="1:5" x14ac:dyDescent="0.25">
      <c r="A1924" s="3" t="s">
        <v>5</v>
      </c>
      <c r="B1924" s="3" t="s">
        <v>633</v>
      </c>
      <c r="C1924" s="3" t="s">
        <v>38</v>
      </c>
      <c r="D1924" s="4">
        <f>HYPERLINK("https://cao.dolgi.msk.ru/account/1060423333/", 1060423333)</f>
        <v>1060423333</v>
      </c>
      <c r="E1924" s="3">
        <v>3761.85</v>
      </c>
    </row>
    <row r="1925" spans="1:5" x14ac:dyDescent="0.25">
      <c r="A1925" s="3" t="s">
        <v>5</v>
      </c>
      <c r="B1925" s="3" t="s">
        <v>633</v>
      </c>
      <c r="C1925" s="3" t="s">
        <v>44</v>
      </c>
      <c r="D1925" s="4">
        <f>HYPERLINK("https://cao.dolgi.msk.ru/account/1060423405/", 1060423405)</f>
        <v>1060423405</v>
      </c>
      <c r="E1925" s="3">
        <v>467477.48</v>
      </c>
    </row>
    <row r="1926" spans="1:5" x14ac:dyDescent="0.25">
      <c r="A1926" s="3" t="s">
        <v>5</v>
      </c>
      <c r="B1926" s="3" t="s">
        <v>633</v>
      </c>
      <c r="C1926" s="3" t="s">
        <v>49</v>
      </c>
      <c r="D1926" s="4">
        <f>HYPERLINK("https://cao.dolgi.msk.ru/account/1060423464/", 1060423464)</f>
        <v>1060423464</v>
      </c>
      <c r="E1926" s="3">
        <v>13579.77</v>
      </c>
    </row>
    <row r="1927" spans="1:5" x14ac:dyDescent="0.25">
      <c r="A1927" s="3" t="s">
        <v>5</v>
      </c>
      <c r="B1927" s="3" t="s">
        <v>633</v>
      </c>
      <c r="C1927" s="3" t="s">
        <v>54</v>
      </c>
      <c r="D1927" s="4">
        <f>HYPERLINK("https://cao.dolgi.msk.ru/account/1060423528/", 1060423528)</f>
        <v>1060423528</v>
      </c>
      <c r="E1927" s="3">
        <v>93085.13</v>
      </c>
    </row>
    <row r="1928" spans="1:5" x14ac:dyDescent="0.25">
      <c r="A1928" s="3" t="s">
        <v>5</v>
      </c>
      <c r="B1928" s="3" t="s">
        <v>633</v>
      </c>
      <c r="C1928" s="3" t="s">
        <v>63</v>
      </c>
      <c r="D1928" s="4">
        <f>HYPERLINK("https://cao.dolgi.msk.ru/account/1060423624/", 1060423624)</f>
        <v>1060423624</v>
      </c>
      <c r="E1928" s="3">
        <v>57685.88</v>
      </c>
    </row>
    <row r="1929" spans="1:5" x14ac:dyDescent="0.25">
      <c r="A1929" s="3" t="s">
        <v>5</v>
      </c>
      <c r="B1929" s="3" t="s">
        <v>634</v>
      </c>
      <c r="C1929" s="3" t="s">
        <v>95</v>
      </c>
      <c r="D1929" s="4">
        <f>HYPERLINK("https://cao.dolgi.msk.ru/account/1060423907/", 1060423907)</f>
        <v>1060423907</v>
      </c>
      <c r="E1929" s="3">
        <v>82213.009999999995</v>
      </c>
    </row>
    <row r="1930" spans="1:5" x14ac:dyDescent="0.25">
      <c r="A1930" s="3" t="s">
        <v>5</v>
      </c>
      <c r="B1930" s="3" t="s">
        <v>634</v>
      </c>
      <c r="C1930" s="3" t="s">
        <v>106</v>
      </c>
      <c r="D1930" s="4">
        <f>HYPERLINK("https://cao.dolgi.msk.ru/account/1060424088/", 1060424088)</f>
        <v>1060424088</v>
      </c>
      <c r="E1930" s="3">
        <v>30382.78</v>
      </c>
    </row>
    <row r="1931" spans="1:5" x14ac:dyDescent="0.25">
      <c r="A1931" s="3" t="s">
        <v>5</v>
      </c>
      <c r="B1931" s="3" t="s">
        <v>634</v>
      </c>
      <c r="C1931" s="3" t="s">
        <v>115</v>
      </c>
      <c r="D1931" s="4">
        <f>HYPERLINK("https://cao.dolgi.msk.ru/account/1060424184/", 1060424184)</f>
        <v>1060424184</v>
      </c>
      <c r="E1931" s="3">
        <v>51824.7</v>
      </c>
    </row>
    <row r="1932" spans="1:5" x14ac:dyDescent="0.25">
      <c r="A1932" s="3" t="s">
        <v>5</v>
      </c>
      <c r="B1932" s="3" t="s">
        <v>634</v>
      </c>
      <c r="C1932" s="3" t="s">
        <v>156</v>
      </c>
      <c r="D1932" s="4">
        <f>HYPERLINK("https://cao.dolgi.msk.ru/account/1060424301/", 1060424301)</f>
        <v>1060424301</v>
      </c>
      <c r="E1932" s="3">
        <v>1433.76</v>
      </c>
    </row>
    <row r="1933" spans="1:5" x14ac:dyDescent="0.25">
      <c r="A1933" s="3" t="s">
        <v>5</v>
      </c>
      <c r="B1933" s="3" t="s">
        <v>634</v>
      </c>
      <c r="C1933" s="3" t="s">
        <v>156</v>
      </c>
      <c r="D1933" s="4">
        <f>HYPERLINK("https://cao.dolgi.msk.ru/account/1060424328/", 1060424328)</f>
        <v>1060424328</v>
      </c>
      <c r="E1933" s="3">
        <v>80680.38</v>
      </c>
    </row>
    <row r="1934" spans="1:5" x14ac:dyDescent="0.25">
      <c r="A1934" s="3" t="s">
        <v>5</v>
      </c>
      <c r="B1934" s="3" t="s">
        <v>634</v>
      </c>
      <c r="C1934" s="3" t="s">
        <v>159</v>
      </c>
      <c r="D1934" s="4">
        <f>HYPERLINK("https://cao.dolgi.msk.ru/account/1060424352/", 1060424352)</f>
        <v>1060424352</v>
      </c>
      <c r="E1934" s="3">
        <v>14037.67</v>
      </c>
    </row>
    <row r="1935" spans="1:5" x14ac:dyDescent="0.25">
      <c r="A1935" s="3" t="s">
        <v>5</v>
      </c>
      <c r="B1935" s="3" t="s">
        <v>634</v>
      </c>
      <c r="C1935" s="3" t="s">
        <v>168</v>
      </c>
      <c r="D1935" s="4">
        <f>HYPERLINK("https://cao.dolgi.msk.ru/account/1060424467/", 1060424467)</f>
        <v>1060424467</v>
      </c>
      <c r="E1935" s="3">
        <v>9399.68</v>
      </c>
    </row>
    <row r="1936" spans="1:5" x14ac:dyDescent="0.25">
      <c r="A1936" s="3" t="s">
        <v>5</v>
      </c>
      <c r="B1936" s="3" t="s">
        <v>634</v>
      </c>
      <c r="C1936" s="3" t="s">
        <v>169</v>
      </c>
      <c r="D1936" s="4">
        <f>HYPERLINK("https://cao.dolgi.msk.ru/account/1060424475/", 1060424475)</f>
        <v>1060424475</v>
      </c>
      <c r="E1936" s="3">
        <v>8499.15</v>
      </c>
    </row>
    <row r="1937" spans="1:5" x14ac:dyDescent="0.25">
      <c r="A1937" s="3" t="s">
        <v>5</v>
      </c>
      <c r="B1937" s="3" t="s">
        <v>634</v>
      </c>
      <c r="C1937" s="3" t="s">
        <v>173</v>
      </c>
      <c r="D1937" s="4">
        <f>HYPERLINK("https://cao.dolgi.msk.ru/account/1060896704/", 1060896704)</f>
        <v>1060896704</v>
      </c>
      <c r="E1937" s="3">
        <v>10655.06</v>
      </c>
    </row>
    <row r="1938" spans="1:5" x14ac:dyDescent="0.25">
      <c r="A1938" s="3" t="s">
        <v>5</v>
      </c>
      <c r="B1938" s="3" t="s">
        <v>634</v>
      </c>
      <c r="C1938" s="3" t="s">
        <v>175</v>
      </c>
      <c r="D1938" s="4">
        <f>HYPERLINK("https://cao.dolgi.msk.ru/account/1060424547/", 1060424547)</f>
        <v>1060424547</v>
      </c>
      <c r="E1938" s="3">
        <v>24955.59</v>
      </c>
    </row>
    <row r="1939" spans="1:5" x14ac:dyDescent="0.25">
      <c r="A1939" s="3" t="s">
        <v>5</v>
      </c>
      <c r="B1939" s="3" t="s">
        <v>634</v>
      </c>
      <c r="C1939" s="3" t="s">
        <v>185</v>
      </c>
      <c r="D1939" s="4">
        <f>HYPERLINK("https://cao.dolgi.msk.ru/account/1060424678/", 1060424678)</f>
        <v>1060424678</v>
      </c>
      <c r="E1939" s="3">
        <v>17268.830000000002</v>
      </c>
    </row>
    <row r="1940" spans="1:5" x14ac:dyDescent="0.25">
      <c r="A1940" s="3" t="s">
        <v>5</v>
      </c>
      <c r="B1940" s="3" t="s">
        <v>634</v>
      </c>
      <c r="C1940" s="3" t="s">
        <v>187</v>
      </c>
      <c r="D1940" s="4">
        <f>HYPERLINK("https://cao.dolgi.msk.ru/account/1060424694/", 1060424694)</f>
        <v>1060424694</v>
      </c>
      <c r="E1940" s="3">
        <v>6464.24</v>
      </c>
    </row>
    <row r="1941" spans="1:5" x14ac:dyDescent="0.25">
      <c r="A1941" s="3" t="s">
        <v>5</v>
      </c>
      <c r="B1941" s="3" t="s">
        <v>635</v>
      </c>
      <c r="C1941" s="3" t="s">
        <v>22</v>
      </c>
      <c r="D1941" s="4">
        <f>HYPERLINK("https://cao.dolgi.msk.ru/account/1060832567/", 1060832567)</f>
        <v>1060832567</v>
      </c>
      <c r="E1941" s="3">
        <v>14759.81</v>
      </c>
    </row>
    <row r="1942" spans="1:5" x14ac:dyDescent="0.25">
      <c r="A1942" s="3" t="s">
        <v>5</v>
      </c>
      <c r="B1942" s="3" t="s">
        <v>635</v>
      </c>
      <c r="C1942" s="3" t="s">
        <v>37</v>
      </c>
      <c r="D1942" s="4">
        <f>HYPERLINK("https://cao.dolgi.msk.ru/account/1060821278/", 1060821278)</f>
        <v>1060821278</v>
      </c>
      <c r="E1942" s="3">
        <v>28601.06</v>
      </c>
    </row>
    <row r="1943" spans="1:5" x14ac:dyDescent="0.25">
      <c r="A1943" s="3" t="s">
        <v>5</v>
      </c>
      <c r="B1943" s="3" t="s">
        <v>635</v>
      </c>
      <c r="C1943" s="3" t="s">
        <v>53</v>
      </c>
      <c r="D1943" s="4">
        <f>HYPERLINK("https://cao.dolgi.msk.ru/account/1060886661/", 1060886661)</f>
        <v>1060886661</v>
      </c>
      <c r="E1943" s="3">
        <v>2849.75</v>
      </c>
    </row>
    <row r="1944" spans="1:5" x14ac:dyDescent="0.25">
      <c r="A1944" s="3" t="s">
        <v>5</v>
      </c>
      <c r="B1944" s="3" t="s">
        <v>635</v>
      </c>
      <c r="C1944" s="3" t="s">
        <v>90</v>
      </c>
      <c r="D1944" s="4">
        <f>HYPERLINK("https://cao.dolgi.msk.ru/account/1060820849/", 1060820849)</f>
        <v>1060820849</v>
      </c>
      <c r="E1944" s="3">
        <v>10320.709999999999</v>
      </c>
    </row>
    <row r="1945" spans="1:5" x14ac:dyDescent="0.25">
      <c r="A1945" s="3" t="s">
        <v>5</v>
      </c>
      <c r="B1945" s="3" t="s">
        <v>635</v>
      </c>
      <c r="C1945" s="3" t="s">
        <v>109</v>
      </c>
      <c r="D1945" s="4">
        <f>HYPERLINK("https://cao.dolgi.msk.ru/account/1060819442/", 1060819442)</f>
        <v>1060819442</v>
      </c>
      <c r="E1945" s="3">
        <v>7470.41</v>
      </c>
    </row>
    <row r="1946" spans="1:5" x14ac:dyDescent="0.25">
      <c r="A1946" s="3" t="s">
        <v>5</v>
      </c>
      <c r="B1946" s="3" t="s">
        <v>635</v>
      </c>
      <c r="C1946" s="3" t="s">
        <v>153</v>
      </c>
      <c r="D1946" s="4">
        <f>HYPERLINK("https://cao.dolgi.msk.ru/account/1060822772/", 1060822772)</f>
        <v>1060822772</v>
      </c>
      <c r="E1946" s="3">
        <v>10975.24</v>
      </c>
    </row>
    <row r="1947" spans="1:5" x14ac:dyDescent="0.25">
      <c r="A1947" s="3" t="s">
        <v>5</v>
      </c>
      <c r="B1947" s="3" t="s">
        <v>635</v>
      </c>
      <c r="C1947" s="3" t="s">
        <v>167</v>
      </c>
      <c r="D1947" s="4">
        <f>HYPERLINK("https://cao.dolgi.msk.ru/account/1060821235/", 1060821235)</f>
        <v>1060821235</v>
      </c>
      <c r="E1947" s="3">
        <v>9281.4599999999991</v>
      </c>
    </row>
    <row r="1948" spans="1:5" x14ac:dyDescent="0.25">
      <c r="A1948" s="3" t="s">
        <v>5</v>
      </c>
      <c r="B1948" s="3" t="s">
        <v>635</v>
      </c>
      <c r="C1948" s="3" t="s">
        <v>171</v>
      </c>
      <c r="D1948" s="4">
        <f>HYPERLINK("https://cao.dolgi.msk.ru/account/1060821796/", 1060821796)</f>
        <v>1060821796</v>
      </c>
      <c r="E1948" s="3">
        <v>6240.58</v>
      </c>
    </row>
    <row r="1949" spans="1:5" x14ac:dyDescent="0.25">
      <c r="A1949" s="3" t="s">
        <v>5</v>
      </c>
      <c r="B1949" s="3" t="s">
        <v>635</v>
      </c>
      <c r="C1949" s="3" t="s">
        <v>173</v>
      </c>
      <c r="D1949" s="4">
        <f>HYPERLINK("https://cao.dolgi.msk.ru/account/1060820304/", 1060820304)</f>
        <v>1060820304</v>
      </c>
      <c r="E1949" s="3">
        <v>5448.88</v>
      </c>
    </row>
    <row r="1950" spans="1:5" x14ac:dyDescent="0.25">
      <c r="A1950" s="3" t="s">
        <v>5</v>
      </c>
      <c r="B1950" s="3" t="s">
        <v>635</v>
      </c>
      <c r="C1950" s="3" t="s">
        <v>218</v>
      </c>
      <c r="D1950" s="4">
        <f>HYPERLINK("https://cao.dolgi.msk.ru/account/1060821577/", 1060821577)</f>
        <v>1060821577</v>
      </c>
      <c r="E1950" s="3">
        <v>5048.95</v>
      </c>
    </row>
    <row r="1951" spans="1:5" x14ac:dyDescent="0.25">
      <c r="A1951" s="3" t="s">
        <v>5</v>
      </c>
      <c r="B1951" s="3" t="s">
        <v>635</v>
      </c>
      <c r="C1951" s="3" t="s">
        <v>219</v>
      </c>
      <c r="D1951" s="4">
        <f>HYPERLINK("https://cao.dolgi.msk.ru/account/1060820857/", 1060820857)</f>
        <v>1060820857</v>
      </c>
      <c r="E1951" s="3">
        <v>100711.53</v>
      </c>
    </row>
    <row r="1952" spans="1:5" x14ac:dyDescent="0.25">
      <c r="A1952" s="3" t="s">
        <v>5</v>
      </c>
      <c r="B1952" s="3" t="s">
        <v>635</v>
      </c>
      <c r="C1952" s="3" t="s">
        <v>237</v>
      </c>
      <c r="D1952" s="4">
        <f>HYPERLINK("https://cao.dolgi.msk.ru/account/1060853659/", 1060853659)</f>
        <v>1060853659</v>
      </c>
      <c r="E1952" s="3">
        <v>6493.49</v>
      </c>
    </row>
    <row r="1953" spans="1:5" x14ac:dyDescent="0.25">
      <c r="A1953" s="3" t="s">
        <v>5</v>
      </c>
      <c r="B1953" s="3" t="s">
        <v>635</v>
      </c>
      <c r="C1953" s="3" t="s">
        <v>246</v>
      </c>
      <c r="D1953" s="4">
        <f>HYPERLINK("https://cao.dolgi.msk.ru/account/1060863662/", 1060863662)</f>
        <v>1060863662</v>
      </c>
      <c r="E1953" s="3">
        <v>11251.72</v>
      </c>
    </row>
    <row r="1954" spans="1:5" x14ac:dyDescent="0.25">
      <c r="A1954" s="3" t="s">
        <v>5</v>
      </c>
      <c r="B1954" s="3" t="s">
        <v>635</v>
      </c>
      <c r="C1954" s="3" t="s">
        <v>248</v>
      </c>
      <c r="D1954" s="4">
        <f>HYPERLINK("https://cao.dolgi.msk.ru/account/1060819573/", 1060819573)</f>
        <v>1060819573</v>
      </c>
      <c r="E1954" s="3">
        <v>204689.44</v>
      </c>
    </row>
    <row r="1955" spans="1:5" x14ac:dyDescent="0.25">
      <c r="A1955" s="3" t="s">
        <v>5</v>
      </c>
      <c r="B1955" s="3" t="s">
        <v>635</v>
      </c>
      <c r="C1955" s="3" t="s">
        <v>288</v>
      </c>
      <c r="D1955" s="4">
        <f>HYPERLINK("https://cao.dolgi.msk.ru/account/1060824196/", 1060824196)</f>
        <v>1060824196</v>
      </c>
      <c r="E1955" s="3">
        <v>7160.8</v>
      </c>
    </row>
    <row r="1956" spans="1:5" x14ac:dyDescent="0.25">
      <c r="A1956" s="3" t="s">
        <v>5</v>
      </c>
      <c r="B1956" s="3" t="s">
        <v>635</v>
      </c>
      <c r="C1956" s="3" t="s">
        <v>121</v>
      </c>
      <c r="D1956" s="4">
        <f>HYPERLINK("https://cao.dolgi.msk.ru/account/1060820785/", 1060820785)</f>
        <v>1060820785</v>
      </c>
      <c r="E1956" s="3">
        <v>110130.6</v>
      </c>
    </row>
    <row r="1957" spans="1:5" x14ac:dyDescent="0.25">
      <c r="A1957" s="3" t="s">
        <v>5</v>
      </c>
      <c r="B1957" s="3" t="s">
        <v>636</v>
      </c>
      <c r="C1957" s="3" t="s">
        <v>16</v>
      </c>
      <c r="D1957" s="4">
        <f>HYPERLINK("https://cao.dolgi.msk.ru/account/1060855515/", 1060855515)</f>
        <v>1060855515</v>
      </c>
      <c r="E1957" s="3">
        <v>10905.77</v>
      </c>
    </row>
    <row r="1958" spans="1:5" x14ac:dyDescent="0.25">
      <c r="A1958" s="3" t="s">
        <v>5</v>
      </c>
      <c r="B1958" s="3" t="s">
        <v>636</v>
      </c>
      <c r="C1958" s="3" t="s">
        <v>19</v>
      </c>
      <c r="D1958" s="4">
        <f>HYPERLINK("https://cao.dolgi.msk.ru/account/1060857932/", 1060857932)</f>
        <v>1060857932</v>
      </c>
      <c r="E1958" s="3">
        <v>3855.57</v>
      </c>
    </row>
    <row r="1959" spans="1:5" x14ac:dyDescent="0.25">
      <c r="A1959" s="3" t="s">
        <v>5</v>
      </c>
      <c r="B1959" s="3" t="s">
        <v>636</v>
      </c>
      <c r="C1959" s="3" t="s">
        <v>28</v>
      </c>
      <c r="D1959" s="4">
        <f>HYPERLINK("https://cao.dolgi.msk.ru/account/1060855224/", 1060855224)</f>
        <v>1060855224</v>
      </c>
      <c r="E1959" s="3">
        <v>16235.61</v>
      </c>
    </row>
    <row r="1960" spans="1:5" x14ac:dyDescent="0.25">
      <c r="A1960" s="3" t="s">
        <v>5</v>
      </c>
      <c r="B1960" s="3" t="s">
        <v>636</v>
      </c>
      <c r="C1960" s="3" t="s">
        <v>39</v>
      </c>
      <c r="D1960" s="4">
        <f>HYPERLINK("https://cao.dolgi.msk.ru/account/1060860066/", 1060860066)</f>
        <v>1060860066</v>
      </c>
      <c r="E1960" s="3">
        <v>28070.13</v>
      </c>
    </row>
    <row r="1961" spans="1:5" x14ac:dyDescent="0.25">
      <c r="A1961" s="3" t="s">
        <v>5</v>
      </c>
      <c r="B1961" s="3" t="s">
        <v>636</v>
      </c>
      <c r="C1961" s="3" t="s">
        <v>78</v>
      </c>
      <c r="D1961" s="4">
        <f>HYPERLINK("https://cao.dolgi.msk.ru/account/1060855195/", 1060855195)</f>
        <v>1060855195</v>
      </c>
      <c r="E1961" s="3">
        <v>4911.3</v>
      </c>
    </row>
    <row r="1962" spans="1:5" x14ac:dyDescent="0.25">
      <c r="A1962" s="3" t="s">
        <v>5</v>
      </c>
      <c r="B1962" s="3" t="s">
        <v>636</v>
      </c>
      <c r="C1962" s="3" t="s">
        <v>116</v>
      </c>
      <c r="D1962" s="4">
        <f>HYPERLINK("https://cao.dolgi.msk.ru/account/1060856868/", 1060856868)</f>
        <v>1060856868</v>
      </c>
      <c r="E1962" s="3">
        <v>10908.27</v>
      </c>
    </row>
    <row r="1963" spans="1:5" x14ac:dyDescent="0.25">
      <c r="A1963" s="3" t="s">
        <v>5</v>
      </c>
      <c r="B1963" s="3" t="s">
        <v>636</v>
      </c>
      <c r="C1963" s="3" t="s">
        <v>154</v>
      </c>
      <c r="D1963" s="4">
        <f>HYPERLINK("https://cao.dolgi.msk.ru/account/1060854758/", 1060854758)</f>
        <v>1060854758</v>
      </c>
      <c r="E1963" s="3">
        <v>5778.5</v>
      </c>
    </row>
    <row r="1964" spans="1:5" x14ac:dyDescent="0.25">
      <c r="A1964" s="3" t="s">
        <v>5</v>
      </c>
      <c r="B1964" s="3" t="s">
        <v>637</v>
      </c>
      <c r="C1964" s="3" t="s">
        <v>105</v>
      </c>
      <c r="D1964" s="4">
        <f>HYPERLINK("https://cao.dolgi.msk.ru/account/1060424889/", 1060424889)</f>
        <v>1060424889</v>
      </c>
      <c r="E1964" s="3">
        <v>13723.23</v>
      </c>
    </row>
    <row r="1965" spans="1:5" x14ac:dyDescent="0.25">
      <c r="A1965" s="3" t="s">
        <v>5</v>
      </c>
      <c r="B1965" s="3" t="s">
        <v>637</v>
      </c>
      <c r="C1965" s="3" t="s">
        <v>133</v>
      </c>
      <c r="D1965" s="4">
        <f>HYPERLINK("https://cao.dolgi.msk.ru/account/1060424918/", 1060424918)</f>
        <v>1060424918</v>
      </c>
      <c r="E1965" s="3">
        <v>88229.94</v>
      </c>
    </row>
    <row r="1966" spans="1:5" x14ac:dyDescent="0.25">
      <c r="A1966" s="3" t="s">
        <v>5</v>
      </c>
      <c r="B1966" s="3" t="s">
        <v>637</v>
      </c>
      <c r="C1966" s="3" t="s">
        <v>11</v>
      </c>
      <c r="D1966" s="4">
        <f>HYPERLINK("https://cao.dolgi.msk.ru/account/1060425064/", 1060425064)</f>
        <v>1060425064</v>
      </c>
      <c r="E1966" s="3">
        <v>79633.399999999994</v>
      </c>
    </row>
    <row r="1967" spans="1:5" x14ac:dyDescent="0.25">
      <c r="A1967" s="3" t="s">
        <v>5</v>
      </c>
      <c r="B1967" s="3" t="s">
        <v>637</v>
      </c>
      <c r="C1967" s="3" t="s">
        <v>25</v>
      </c>
      <c r="D1967" s="4">
        <f>HYPERLINK("https://cao.dolgi.msk.ru/account/1060425232/", 1060425232)</f>
        <v>1060425232</v>
      </c>
      <c r="E1967" s="3">
        <v>99073.01</v>
      </c>
    </row>
    <row r="1968" spans="1:5" x14ac:dyDescent="0.25">
      <c r="A1968" s="3" t="s">
        <v>5</v>
      </c>
      <c r="B1968" s="3" t="s">
        <v>637</v>
      </c>
      <c r="C1968" s="3" t="s">
        <v>26</v>
      </c>
      <c r="D1968" s="4">
        <f>HYPERLINK("https://cao.dolgi.msk.ru/account/1060425259/", 1060425259)</f>
        <v>1060425259</v>
      </c>
      <c r="E1968" s="3">
        <v>238251.55</v>
      </c>
    </row>
    <row r="1969" spans="1:5" x14ac:dyDescent="0.25">
      <c r="A1969" s="3" t="s">
        <v>5</v>
      </c>
      <c r="B1969" s="3" t="s">
        <v>637</v>
      </c>
      <c r="C1969" s="3" t="s">
        <v>35</v>
      </c>
      <c r="D1969" s="4">
        <f>HYPERLINK("https://cao.dolgi.msk.ru/account/1060425347/", 1060425347)</f>
        <v>1060425347</v>
      </c>
      <c r="E1969" s="3">
        <v>6709.91</v>
      </c>
    </row>
    <row r="1970" spans="1:5" x14ac:dyDescent="0.25">
      <c r="A1970" s="3" t="s">
        <v>5</v>
      </c>
      <c r="B1970" s="3" t="s">
        <v>637</v>
      </c>
      <c r="C1970" s="3" t="s">
        <v>45</v>
      </c>
      <c r="D1970" s="4">
        <f>HYPERLINK("https://cao.dolgi.msk.ru/account/1060425478/", 1060425478)</f>
        <v>1060425478</v>
      </c>
      <c r="E1970" s="3">
        <v>21738.32</v>
      </c>
    </row>
    <row r="1971" spans="1:5" x14ac:dyDescent="0.25">
      <c r="A1971" s="3" t="s">
        <v>5</v>
      </c>
      <c r="B1971" s="3" t="s">
        <v>637</v>
      </c>
      <c r="C1971" s="3" t="s">
        <v>53</v>
      </c>
      <c r="D1971" s="4">
        <f>HYPERLINK("https://cao.dolgi.msk.ru/account/1060425558/", 1060425558)</f>
        <v>1060425558</v>
      </c>
      <c r="E1971" s="3">
        <v>12721.91</v>
      </c>
    </row>
    <row r="1972" spans="1:5" x14ac:dyDescent="0.25">
      <c r="A1972" s="3" t="s">
        <v>5</v>
      </c>
      <c r="B1972" s="3" t="s">
        <v>638</v>
      </c>
      <c r="C1972" s="3" t="s">
        <v>137</v>
      </c>
      <c r="D1972" s="4">
        <f>HYPERLINK("https://cao.dolgi.msk.ru/account/1060338163/", 1060338163)</f>
        <v>1060338163</v>
      </c>
      <c r="E1972" s="3">
        <v>5184.57</v>
      </c>
    </row>
    <row r="1973" spans="1:5" x14ac:dyDescent="0.25">
      <c r="A1973" s="3" t="s">
        <v>5</v>
      </c>
      <c r="B1973" s="3" t="s">
        <v>638</v>
      </c>
      <c r="C1973" s="3" t="s">
        <v>14</v>
      </c>
      <c r="D1973" s="4">
        <f>HYPERLINK("https://cao.dolgi.msk.ru/account/1060338315/", 1060338315)</f>
        <v>1060338315</v>
      </c>
      <c r="E1973" s="3">
        <v>9874.07</v>
      </c>
    </row>
    <row r="1974" spans="1:5" x14ac:dyDescent="0.25">
      <c r="A1974" s="3" t="s">
        <v>5</v>
      </c>
      <c r="B1974" s="3" t="s">
        <v>638</v>
      </c>
      <c r="C1974" s="3" t="s">
        <v>21</v>
      </c>
      <c r="D1974" s="4">
        <f>HYPERLINK("https://cao.dolgi.msk.ru/account/1060338403/", 1060338403)</f>
        <v>1060338403</v>
      </c>
      <c r="E1974" s="3">
        <v>401072.73</v>
      </c>
    </row>
    <row r="1975" spans="1:5" x14ac:dyDescent="0.25">
      <c r="A1975" s="3" t="s">
        <v>5</v>
      </c>
      <c r="B1975" s="3" t="s">
        <v>638</v>
      </c>
      <c r="C1975" s="3" t="s">
        <v>24</v>
      </c>
      <c r="D1975" s="4">
        <f>HYPERLINK("https://cao.dolgi.msk.ru/account/1060338446/", 1060338446)</f>
        <v>1060338446</v>
      </c>
      <c r="E1975" s="3">
        <v>7205.61</v>
      </c>
    </row>
    <row r="1976" spans="1:5" x14ac:dyDescent="0.25">
      <c r="A1976" s="3" t="s">
        <v>5</v>
      </c>
      <c r="B1976" s="3" t="s">
        <v>638</v>
      </c>
      <c r="C1976" s="3" t="s">
        <v>42</v>
      </c>
      <c r="D1976" s="4">
        <f>HYPERLINK("https://cao.dolgi.msk.ru/account/1060338657/", 1060338657)</f>
        <v>1060338657</v>
      </c>
      <c r="E1976" s="3">
        <v>3834.93</v>
      </c>
    </row>
    <row r="1977" spans="1:5" x14ac:dyDescent="0.25">
      <c r="A1977" s="3" t="s">
        <v>5</v>
      </c>
      <c r="B1977" s="3" t="s">
        <v>638</v>
      </c>
      <c r="C1977" s="3" t="s">
        <v>52</v>
      </c>
      <c r="D1977" s="4">
        <f>HYPERLINK("https://cao.dolgi.msk.ru/account/1060338761/", 1060338761)</f>
        <v>1060338761</v>
      </c>
      <c r="E1977" s="3">
        <v>33736.04</v>
      </c>
    </row>
    <row r="1978" spans="1:5" x14ac:dyDescent="0.25">
      <c r="A1978" s="3" t="s">
        <v>5</v>
      </c>
      <c r="B1978" s="3" t="s">
        <v>638</v>
      </c>
      <c r="C1978" s="3" t="s">
        <v>56</v>
      </c>
      <c r="D1978" s="4">
        <f>HYPERLINK("https://cao.dolgi.msk.ru/account/1060338817/", 1060338817)</f>
        <v>1060338817</v>
      </c>
      <c r="E1978" s="3">
        <v>8137.44</v>
      </c>
    </row>
    <row r="1979" spans="1:5" x14ac:dyDescent="0.25">
      <c r="A1979" s="3" t="s">
        <v>5</v>
      </c>
      <c r="B1979" s="3" t="s">
        <v>638</v>
      </c>
      <c r="C1979" s="3" t="s">
        <v>73</v>
      </c>
      <c r="D1979" s="4">
        <f>HYPERLINK("https://cao.dolgi.msk.ru/account/1060338956/", 1060338956)</f>
        <v>1060338956</v>
      </c>
      <c r="E1979" s="3">
        <v>15265.17</v>
      </c>
    </row>
    <row r="1980" spans="1:5" x14ac:dyDescent="0.25">
      <c r="A1980" s="3" t="s">
        <v>5</v>
      </c>
      <c r="B1980" s="3" t="s">
        <v>638</v>
      </c>
      <c r="C1980" s="3" t="s">
        <v>106</v>
      </c>
      <c r="D1980" s="4">
        <f>HYPERLINK("https://cao.dolgi.msk.ru/account/1060339406/", 1060339406)</f>
        <v>1060339406</v>
      </c>
      <c r="E1980" s="3">
        <v>8882.51</v>
      </c>
    </row>
    <row r="1981" spans="1:5" x14ac:dyDescent="0.25">
      <c r="A1981" s="3" t="s">
        <v>5</v>
      </c>
      <c r="B1981" s="3" t="s">
        <v>638</v>
      </c>
      <c r="C1981" s="3" t="s">
        <v>169</v>
      </c>
      <c r="D1981" s="4">
        <f>HYPERLINK("https://cao.dolgi.msk.ru/account/1060339772/", 1060339772)</f>
        <v>1060339772</v>
      </c>
      <c r="E1981" s="3">
        <v>10088.24</v>
      </c>
    </row>
    <row r="1982" spans="1:5" x14ac:dyDescent="0.25">
      <c r="A1982" s="3" t="s">
        <v>5</v>
      </c>
      <c r="B1982" s="3" t="s">
        <v>638</v>
      </c>
      <c r="C1982" s="3" t="s">
        <v>172</v>
      </c>
      <c r="D1982" s="4">
        <f>HYPERLINK("https://cao.dolgi.msk.ru/account/1060339828/", 1060339828)</f>
        <v>1060339828</v>
      </c>
      <c r="E1982" s="3">
        <v>5793.41</v>
      </c>
    </row>
    <row r="1983" spans="1:5" x14ac:dyDescent="0.25">
      <c r="A1983" s="3" t="s">
        <v>5</v>
      </c>
      <c r="B1983" s="3" t="s">
        <v>639</v>
      </c>
      <c r="C1983" s="3" t="s">
        <v>51</v>
      </c>
      <c r="D1983" s="4">
        <f>HYPERLINK("https://cao.dolgi.msk.ru/account/1060425822/", 1060425822)</f>
        <v>1060425822</v>
      </c>
      <c r="E1983" s="3">
        <v>26587.35</v>
      </c>
    </row>
    <row r="1984" spans="1:5" x14ac:dyDescent="0.25">
      <c r="A1984" s="3" t="s">
        <v>5</v>
      </c>
      <c r="B1984" s="3" t="s">
        <v>639</v>
      </c>
      <c r="C1984" s="3" t="s">
        <v>9</v>
      </c>
      <c r="D1984" s="4">
        <f>HYPERLINK("https://cao.dolgi.msk.ru/account/1060425881/", 1060425881)</f>
        <v>1060425881</v>
      </c>
      <c r="E1984" s="3">
        <v>53976.55</v>
      </c>
    </row>
    <row r="1985" spans="1:5" x14ac:dyDescent="0.25">
      <c r="A1985" s="3" t="s">
        <v>5</v>
      </c>
      <c r="B1985" s="3" t="s">
        <v>639</v>
      </c>
      <c r="C1985" s="3" t="s">
        <v>89</v>
      </c>
      <c r="D1985" s="4">
        <f>HYPERLINK("https://cao.dolgi.msk.ru/account/1060425902/", 1060425902)</f>
        <v>1060425902</v>
      </c>
      <c r="E1985" s="3">
        <v>187124.96</v>
      </c>
    </row>
    <row r="1986" spans="1:5" x14ac:dyDescent="0.25">
      <c r="A1986" s="3" t="s">
        <v>5</v>
      </c>
      <c r="B1986" s="3" t="s">
        <v>639</v>
      </c>
      <c r="C1986" s="3" t="s">
        <v>105</v>
      </c>
      <c r="D1986" s="4">
        <f>HYPERLINK("https://cao.dolgi.msk.ru/account/1060425929/", 1060425929)</f>
        <v>1060425929</v>
      </c>
      <c r="E1986" s="3">
        <v>3487.36</v>
      </c>
    </row>
    <row r="1987" spans="1:5" x14ac:dyDescent="0.25">
      <c r="A1987" s="3" t="s">
        <v>5</v>
      </c>
      <c r="B1987" s="3" t="s">
        <v>639</v>
      </c>
      <c r="C1987" s="3" t="s">
        <v>12</v>
      </c>
      <c r="D1987" s="4">
        <f>HYPERLINK("https://cao.dolgi.msk.ru/account/1060426104/", 1060426104)</f>
        <v>1060426104</v>
      </c>
      <c r="E1987" s="3">
        <v>7077.02</v>
      </c>
    </row>
    <row r="1988" spans="1:5" x14ac:dyDescent="0.25">
      <c r="A1988" s="3" t="s">
        <v>5</v>
      </c>
      <c r="B1988" s="3" t="s">
        <v>639</v>
      </c>
      <c r="C1988" s="3" t="s">
        <v>23</v>
      </c>
      <c r="D1988" s="4">
        <f>HYPERLINK("https://cao.dolgi.msk.ru/account/1060426243/", 1060426243)</f>
        <v>1060426243</v>
      </c>
      <c r="E1988" s="3">
        <v>104815.59</v>
      </c>
    </row>
    <row r="1989" spans="1:5" x14ac:dyDescent="0.25">
      <c r="A1989" s="3" t="s">
        <v>5</v>
      </c>
      <c r="B1989" s="3" t="s">
        <v>639</v>
      </c>
      <c r="C1989" s="3" t="s">
        <v>52</v>
      </c>
      <c r="D1989" s="4">
        <f>HYPERLINK("https://cao.dolgi.msk.ru/account/1060426585/", 1060426585)</f>
        <v>1060426585</v>
      </c>
      <c r="E1989" s="3">
        <v>106395.96</v>
      </c>
    </row>
    <row r="1990" spans="1:5" x14ac:dyDescent="0.25">
      <c r="A1990" s="3" t="s">
        <v>5</v>
      </c>
      <c r="B1990" s="3" t="s">
        <v>640</v>
      </c>
      <c r="C1990" s="3" t="s">
        <v>90</v>
      </c>
      <c r="D1990" s="4">
        <f>HYPERLINK("https://cao.dolgi.msk.ru/account/1060426972/", 1060426972)</f>
        <v>1060426972</v>
      </c>
      <c r="E1990" s="3">
        <v>62354.23</v>
      </c>
    </row>
    <row r="1991" spans="1:5" x14ac:dyDescent="0.25">
      <c r="A1991" s="3" t="s">
        <v>5</v>
      </c>
      <c r="B1991" s="3" t="s">
        <v>640</v>
      </c>
      <c r="C1991" s="3" t="s">
        <v>92</v>
      </c>
      <c r="D1991" s="4">
        <f>HYPERLINK("https://cao.dolgi.msk.ru/account/1060427019/", 1060427019)</f>
        <v>1060427019</v>
      </c>
      <c r="E1991" s="3">
        <v>38865.46</v>
      </c>
    </row>
    <row r="1992" spans="1:5" x14ac:dyDescent="0.25">
      <c r="A1992" s="3" t="s">
        <v>5</v>
      </c>
      <c r="B1992" s="3" t="s">
        <v>640</v>
      </c>
      <c r="C1992" s="3" t="s">
        <v>148</v>
      </c>
      <c r="D1992" s="4">
        <f>HYPERLINK("https://cao.dolgi.msk.ru/account/1060427182/", 1060427182)</f>
        <v>1060427182</v>
      </c>
      <c r="E1992" s="3">
        <v>45373.86</v>
      </c>
    </row>
    <row r="1993" spans="1:5" x14ac:dyDescent="0.25">
      <c r="A1993" s="3" t="s">
        <v>5</v>
      </c>
      <c r="B1993" s="3" t="s">
        <v>640</v>
      </c>
      <c r="C1993" s="3" t="s">
        <v>150</v>
      </c>
      <c r="D1993" s="4">
        <f>HYPERLINK("https://cao.dolgi.msk.ru/account/1060427369/", 1060427369)</f>
        <v>1060427369</v>
      </c>
      <c r="E1993" s="3">
        <v>5562.18</v>
      </c>
    </row>
    <row r="1994" spans="1:5" x14ac:dyDescent="0.25">
      <c r="A1994" s="3" t="s">
        <v>5</v>
      </c>
      <c r="B1994" s="3" t="s">
        <v>640</v>
      </c>
      <c r="C1994" s="3" t="s">
        <v>157</v>
      </c>
      <c r="D1994" s="4">
        <f>HYPERLINK("https://cao.dolgi.msk.ru/account/1060427449/", 1060427449)</f>
        <v>1060427449</v>
      </c>
      <c r="E1994" s="3">
        <v>8674.41</v>
      </c>
    </row>
    <row r="1995" spans="1:5" x14ac:dyDescent="0.25">
      <c r="A1995" s="3" t="s">
        <v>5</v>
      </c>
      <c r="B1995" s="3" t="s">
        <v>640</v>
      </c>
      <c r="C1995" s="3" t="s">
        <v>164</v>
      </c>
      <c r="D1995" s="4">
        <f>HYPERLINK("https://cao.dolgi.msk.ru/account/1060427537/", 1060427537)</f>
        <v>1060427537</v>
      </c>
      <c r="E1995" s="3">
        <v>236297.25</v>
      </c>
    </row>
    <row r="1996" spans="1:5" x14ac:dyDescent="0.25">
      <c r="A1996" s="3" t="s">
        <v>5</v>
      </c>
      <c r="B1996" s="3" t="s">
        <v>640</v>
      </c>
      <c r="C1996" s="3" t="s">
        <v>169</v>
      </c>
      <c r="D1996" s="4">
        <f>HYPERLINK("https://cao.dolgi.msk.ru/account/1060427596/", 1060427596)</f>
        <v>1060427596</v>
      </c>
      <c r="E1996" s="3">
        <v>171490.08</v>
      </c>
    </row>
    <row r="1997" spans="1:5" x14ac:dyDescent="0.25">
      <c r="A1997" s="3" t="s">
        <v>5</v>
      </c>
      <c r="B1997" s="3" t="s">
        <v>640</v>
      </c>
      <c r="C1997" s="3" t="s">
        <v>177</v>
      </c>
      <c r="D1997" s="4">
        <f>HYPERLINK("https://cao.dolgi.msk.ru/account/1060427684/", 1060427684)</f>
        <v>1060427684</v>
      </c>
      <c r="E1997" s="3">
        <v>38305.910000000003</v>
      </c>
    </row>
    <row r="1998" spans="1:5" x14ac:dyDescent="0.25">
      <c r="A1998" s="3" t="s">
        <v>5</v>
      </c>
      <c r="B1998" s="3" t="s">
        <v>640</v>
      </c>
      <c r="C1998" s="3" t="s">
        <v>185</v>
      </c>
      <c r="D1998" s="4">
        <f>HYPERLINK("https://cao.dolgi.msk.ru/account/1060427772/", 1060427772)</f>
        <v>1060427772</v>
      </c>
      <c r="E1998" s="3">
        <v>7533.67</v>
      </c>
    </row>
    <row r="1999" spans="1:5" x14ac:dyDescent="0.25">
      <c r="A1999" s="3" t="s">
        <v>5</v>
      </c>
      <c r="B1999" s="3" t="s">
        <v>641</v>
      </c>
      <c r="C1999" s="3" t="s">
        <v>51</v>
      </c>
      <c r="D1999" s="4">
        <f>HYPERLINK("https://cao.dolgi.msk.ru/account/1060427887/", 1060427887)</f>
        <v>1060427887</v>
      </c>
      <c r="E1999" s="3">
        <v>184961.24</v>
      </c>
    </row>
    <row r="2000" spans="1:5" x14ac:dyDescent="0.25">
      <c r="A2000" s="3" t="s">
        <v>5</v>
      </c>
      <c r="B2000" s="3" t="s">
        <v>641</v>
      </c>
      <c r="C2000" s="3" t="s">
        <v>8</v>
      </c>
      <c r="D2000" s="4">
        <f>HYPERLINK("https://cao.dolgi.msk.ru/account/1060427895/", 1060427895)</f>
        <v>1060427895</v>
      </c>
      <c r="E2000" s="3">
        <v>12311.15</v>
      </c>
    </row>
    <row r="2001" spans="1:5" x14ac:dyDescent="0.25">
      <c r="A2001" s="3" t="s">
        <v>5</v>
      </c>
      <c r="B2001" s="3" t="s">
        <v>641</v>
      </c>
      <c r="C2001" s="3" t="s">
        <v>130</v>
      </c>
      <c r="D2001" s="4">
        <f>HYPERLINK("https://cao.dolgi.msk.ru/account/1060427916/", 1060427916)</f>
        <v>1060427916</v>
      </c>
      <c r="E2001" s="3">
        <v>8005.2</v>
      </c>
    </row>
    <row r="2002" spans="1:5" x14ac:dyDescent="0.25">
      <c r="A2002" s="3" t="s">
        <v>5</v>
      </c>
      <c r="B2002" s="3" t="s">
        <v>641</v>
      </c>
      <c r="C2002" s="3" t="s">
        <v>138</v>
      </c>
      <c r="D2002" s="4">
        <f>HYPERLINK("https://cao.dolgi.msk.ru/account/1060428046/", 1060428046)</f>
        <v>1060428046</v>
      </c>
      <c r="E2002" s="3">
        <v>24878.1</v>
      </c>
    </row>
    <row r="2003" spans="1:5" x14ac:dyDescent="0.25">
      <c r="A2003" s="3" t="s">
        <v>5</v>
      </c>
      <c r="B2003" s="3" t="s">
        <v>641</v>
      </c>
      <c r="C2003" s="3" t="s">
        <v>28</v>
      </c>
      <c r="D2003" s="4">
        <f>HYPERLINK("https://cao.dolgi.msk.ru/account/1060428353/", 1060428353)</f>
        <v>1060428353</v>
      </c>
      <c r="E2003" s="3">
        <v>93430.95</v>
      </c>
    </row>
    <row r="2004" spans="1:5" x14ac:dyDescent="0.25">
      <c r="A2004" s="3" t="s">
        <v>5</v>
      </c>
      <c r="B2004" s="3" t="s">
        <v>641</v>
      </c>
      <c r="C2004" s="3" t="s">
        <v>58</v>
      </c>
      <c r="D2004" s="4">
        <f>HYPERLINK("https://cao.dolgi.msk.ru/account/1060428695/", 1060428695)</f>
        <v>1060428695</v>
      </c>
      <c r="E2004" s="3">
        <v>26796.42</v>
      </c>
    </row>
    <row r="2005" spans="1:5" x14ac:dyDescent="0.25">
      <c r="A2005" s="3" t="s">
        <v>5</v>
      </c>
      <c r="B2005" s="3" t="s">
        <v>642</v>
      </c>
      <c r="C2005" s="3" t="s">
        <v>132</v>
      </c>
      <c r="D2005" s="4">
        <f>HYPERLINK("https://cao.dolgi.msk.ru/account/1069134992/", 1069134992)</f>
        <v>1069134992</v>
      </c>
      <c r="E2005" s="3">
        <v>37590.6</v>
      </c>
    </row>
    <row r="2006" spans="1:5" x14ac:dyDescent="0.25">
      <c r="A2006" s="3" t="s">
        <v>5</v>
      </c>
      <c r="B2006" s="3" t="s">
        <v>642</v>
      </c>
      <c r="C2006" s="3" t="s">
        <v>7</v>
      </c>
      <c r="D2006" s="4">
        <f>HYPERLINK("https://cao.dolgi.msk.ru/account/1069139515/", 1069139515)</f>
        <v>1069139515</v>
      </c>
      <c r="E2006" s="3">
        <v>24829.69</v>
      </c>
    </row>
    <row r="2007" spans="1:5" x14ac:dyDescent="0.25">
      <c r="A2007" s="3" t="s">
        <v>5</v>
      </c>
      <c r="B2007" s="3" t="s">
        <v>642</v>
      </c>
      <c r="C2007" s="3" t="s">
        <v>13</v>
      </c>
      <c r="D2007" s="4">
        <f>HYPERLINK("https://cao.dolgi.msk.ru/account/1069136656/", 1069136656)</f>
        <v>1069136656</v>
      </c>
      <c r="E2007" s="3">
        <v>11493.76</v>
      </c>
    </row>
    <row r="2008" spans="1:5" x14ac:dyDescent="0.25">
      <c r="A2008" s="3" t="s">
        <v>5</v>
      </c>
      <c r="B2008" s="3" t="s">
        <v>642</v>
      </c>
      <c r="C2008" s="3" t="s">
        <v>18</v>
      </c>
      <c r="D2008" s="4">
        <f>HYPERLINK("https://cao.dolgi.msk.ru/account/1069128031/", 1069128031)</f>
        <v>1069128031</v>
      </c>
      <c r="E2008" s="3">
        <v>6699.77</v>
      </c>
    </row>
    <row r="2009" spans="1:5" x14ac:dyDescent="0.25">
      <c r="A2009" s="3" t="s">
        <v>5</v>
      </c>
      <c r="B2009" s="3" t="s">
        <v>642</v>
      </c>
      <c r="C2009" s="3" t="s">
        <v>19</v>
      </c>
      <c r="D2009" s="4">
        <f>HYPERLINK("https://cao.dolgi.msk.ru/account/1069138862/", 1069138862)</f>
        <v>1069138862</v>
      </c>
      <c r="E2009" s="3">
        <v>17198.240000000002</v>
      </c>
    </row>
    <row r="2010" spans="1:5" x14ac:dyDescent="0.25">
      <c r="A2010" s="3" t="s">
        <v>5</v>
      </c>
      <c r="B2010" s="3" t="s">
        <v>642</v>
      </c>
      <c r="C2010" s="3" t="s">
        <v>34</v>
      </c>
      <c r="D2010" s="4">
        <f>HYPERLINK("https://cao.dolgi.msk.ru/account/1069126052/", 1069126052)</f>
        <v>1069126052</v>
      </c>
      <c r="E2010" s="3">
        <v>11423.68</v>
      </c>
    </row>
    <row r="2011" spans="1:5" x14ac:dyDescent="0.25">
      <c r="A2011" s="3" t="s">
        <v>5</v>
      </c>
      <c r="B2011" s="3" t="s">
        <v>642</v>
      </c>
      <c r="C2011" s="3" t="s">
        <v>36</v>
      </c>
      <c r="D2011" s="4">
        <f>HYPERLINK("https://cao.dolgi.msk.ru/account/1069135303/", 1069135303)</f>
        <v>1069135303</v>
      </c>
      <c r="E2011" s="3">
        <v>8078.86</v>
      </c>
    </row>
    <row r="2012" spans="1:5" x14ac:dyDescent="0.25">
      <c r="A2012" s="3" t="s">
        <v>5</v>
      </c>
      <c r="B2012" s="3" t="s">
        <v>642</v>
      </c>
      <c r="C2012" s="3" t="s">
        <v>56</v>
      </c>
      <c r="D2012" s="4">
        <f>HYPERLINK("https://cao.dolgi.msk.ru/account/1069130967/", 1069130967)</f>
        <v>1069130967</v>
      </c>
      <c r="E2012" s="3">
        <v>13411.97</v>
      </c>
    </row>
    <row r="2013" spans="1:5" x14ac:dyDescent="0.25">
      <c r="A2013" s="3" t="s">
        <v>5</v>
      </c>
      <c r="B2013" s="3" t="s">
        <v>642</v>
      </c>
      <c r="C2013" s="3" t="s">
        <v>108</v>
      </c>
      <c r="D2013" s="4">
        <f>HYPERLINK("https://cao.dolgi.msk.ru/account/1069130078/", 1069130078)</f>
        <v>1069130078</v>
      </c>
      <c r="E2013" s="3">
        <v>4594.2700000000004</v>
      </c>
    </row>
    <row r="2014" spans="1:5" x14ac:dyDescent="0.25">
      <c r="A2014" s="3" t="s">
        <v>5</v>
      </c>
      <c r="B2014" s="3" t="s">
        <v>642</v>
      </c>
      <c r="C2014" s="3" t="s">
        <v>112</v>
      </c>
      <c r="D2014" s="4">
        <f>HYPERLINK("https://cao.dolgi.msk.ru/account/1069146555/", 1069146555)</f>
        <v>1069146555</v>
      </c>
      <c r="E2014" s="3">
        <v>11318.62</v>
      </c>
    </row>
    <row r="2015" spans="1:5" x14ac:dyDescent="0.25">
      <c r="A2015" s="3" t="s">
        <v>5</v>
      </c>
      <c r="B2015" s="3" t="s">
        <v>642</v>
      </c>
      <c r="C2015" s="3" t="s">
        <v>149</v>
      </c>
      <c r="D2015" s="4">
        <f>HYPERLINK("https://cao.dolgi.msk.ru/account/1069128883/", 1069128883)</f>
        <v>1069128883</v>
      </c>
      <c r="E2015" s="3">
        <v>3839.21</v>
      </c>
    </row>
    <row r="2016" spans="1:5" x14ac:dyDescent="0.25">
      <c r="A2016" s="3" t="s">
        <v>5</v>
      </c>
      <c r="B2016" s="3" t="s">
        <v>642</v>
      </c>
      <c r="C2016" s="3" t="s">
        <v>153</v>
      </c>
      <c r="D2016" s="4">
        <f>HYPERLINK("https://cao.dolgi.msk.ru/account/1069128349/", 1069128349)</f>
        <v>1069128349</v>
      </c>
      <c r="E2016" s="3">
        <v>45645.71</v>
      </c>
    </row>
    <row r="2017" spans="1:5" x14ac:dyDescent="0.25">
      <c r="A2017" s="3" t="s">
        <v>5</v>
      </c>
      <c r="B2017" s="3" t="s">
        <v>642</v>
      </c>
      <c r="C2017" s="3" t="s">
        <v>158</v>
      </c>
      <c r="D2017" s="4">
        <f>HYPERLINK("https://cao.dolgi.msk.ru/account/1069135207/", 1069135207)</f>
        <v>1069135207</v>
      </c>
      <c r="E2017" s="3">
        <v>105301.19</v>
      </c>
    </row>
    <row r="2018" spans="1:5" x14ac:dyDescent="0.25">
      <c r="A2018" s="3" t="s">
        <v>5</v>
      </c>
      <c r="B2018" s="3" t="s">
        <v>642</v>
      </c>
      <c r="C2018" s="3" t="s">
        <v>160</v>
      </c>
      <c r="D2018" s="4">
        <f>HYPERLINK("https://cao.dolgi.msk.ru/account/1069126298/", 1069126298)</f>
        <v>1069126298</v>
      </c>
      <c r="E2018" s="3">
        <v>9377.18</v>
      </c>
    </row>
    <row r="2019" spans="1:5" x14ac:dyDescent="0.25">
      <c r="A2019" s="3" t="s">
        <v>5</v>
      </c>
      <c r="B2019" s="3" t="s">
        <v>642</v>
      </c>
      <c r="C2019" s="3" t="s">
        <v>169</v>
      </c>
      <c r="D2019" s="4">
        <f>HYPERLINK("https://cao.dolgi.msk.ru/account/1069137683/", 1069137683)</f>
        <v>1069137683</v>
      </c>
      <c r="E2019" s="3">
        <v>6717.04</v>
      </c>
    </row>
    <row r="2020" spans="1:5" x14ac:dyDescent="0.25">
      <c r="A2020" s="3" t="s">
        <v>5</v>
      </c>
      <c r="B2020" s="3" t="s">
        <v>642</v>
      </c>
      <c r="C2020" s="3" t="s">
        <v>191</v>
      </c>
      <c r="D2020" s="4">
        <f>HYPERLINK("https://cao.dolgi.msk.ru/account/1069129472/", 1069129472)</f>
        <v>1069129472</v>
      </c>
      <c r="E2020" s="3">
        <v>9002.2999999999993</v>
      </c>
    </row>
    <row r="2021" spans="1:5" x14ac:dyDescent="0.25">
      <c r="A2021" s="3" t="s">
        <v>5</v>
      </c>
      <c r="B2021" s="3" t="s">
        <v>642</v>
      </c>
      <c r="C2021" s="3" t="s">
        <v>209</v>
      </c>
      <c r="D2021" s="4">
        <f>HYPERLINK("https://cao.dolgi.msk.ru/account/1069132794/", 1069132794)</f>
        <v>1069132794</v>
      </c>
      <c r="E2021" s="3">
        <v>7451.81</v>
      </c>
    </row>
    <row r="2022" spans="1:5" x14ac:dyDescent="0.25">
      <c r="A2022" s="3" t="s">
        <v>5</v>
      </c>
      <c r="B2022" s="3" t="s">
        <v>642</v>
      </c>
      <c r="C2022" s="3" t="s">
        <v>212</v>
      </c>
      <c r="D2022" s="4">
        <f>HYPERLINK("https://cao.dolgi.msk.ru/account/1060816858/", 1060816858)</f>
        <v>1060816858</v>
      </c>
      <c r="E2022" s="3">
        <v>16406.2</v>
      </c>
    </row>
    <row r="2023" spans="1:5" x14ac:dyDescent="0.25">
      <c r="A2023" s="3" t="s">
        <v>5</v>
      </c>
      <c r="B2023" s="3" t="s">
        <v>642</v>
      </c>
      <c r="C2023" s="3" t="s">
        <v>224</v>
      </c>
      <c r="D2023" s="4">
        <f>HYPERLINK("https://cao.dolgi.msk.ru/account/1069147574/", 1069147574)</f>
        <v>1069147574</v>
      </c>
      <c r="E2023" s="3">
        <v>8898.7000000000007</v>
      </c>
    </row>
    <row r="2024" spans="1:5" x14ac:dyDescent="0.25">
      <c r="A2024" s="3" t="s">
        <v>5</v>
      </c>
      <c r="B2024" s="3" t="s">
        <v>642</v>
      </c>
      <c r="C2024" s="3" t="s">
        <v>228</v>
      </c>
      <c r="D2024" s="4">
        <f>HYPERLINK("https://cao.dolgi.msk.ru/account/1069134765/", 1069134765)</f>
        <v>1069134765</v>
      </c>
      <c r="E2024" s="3">
        <v>14065</v>
      </c>
    </row>
    <row r="2025" spans="1:5" x14ac:dyDescent="0.25">
      <c r="A2025" s="3" t="s">
        <v>5</v>
      </c>
      <c r="B2025" s="3" t="s">
        <v>642</v>
      </c>
      <c r="C2025" s="3" t="s">
        <v>233</v>
      </c>
      <c r="D2025" s="4">
        <f>HYPERLINK("https://cao.dolgi.msk.ru/account/1069127936/", 1069127936)</f>
        <v>1069127936</v>
      </c>
      <c r="E2025" s="3">
        <v>7149.26</v>
      </c>
    </row>
    <row r="2026" spans="1:5" x14ac:dyDescent="0.25">
      <c r="A2026" s="3" t="s">
        <v>5</v>
      </c>
      <c r="B2026" s="3" t="s">
        <v>642</v>
      </c>
      <c r="C2026" s="3" t="s">
        <v>239</v>
      </c>
      <c r="D2026" s="4">
        <f>HYPERLINK("https://cao.dolgi.msk.ru/account/1069134087/", 1069134087)</f>
        <v>1069134087</v>
      </c>
      <c r="E2026" s="3">
        <v>9807.06</v>
      </c>
    </row>
    <row r="2027" spans="1:5" x14ac:dyDescent="0.25">
      <c r="A2027" s="3" t="s">
        <v>5</v>
      </c>
      <c r="B2027" s="3" t="s">
        <v>642</v>
      </c>
      <c r="C2027" s="3" t="s">
        <v>247</v>
      </c>
      <c r="D2027" s="4">
        <f>HYPERLINK("https://cao.dolgi.msk.ru/account/1060816081/", 1060816081)</f>
        <v>1060816081</v>
      </c>
      <c r="E2027" s="3">
        <v>6237.66</v>
      </c>
    </row>
    <row r="2028" spans="1:5" x14ac:dyDescent="0.25">
      <c r="A2028" s="3" t="s">
        <v>5</v>
      </c>
      <c r="B2028" s="3" t="s">
        <v>642</v>
      </c>
      <c r="C2028" s="3" t="s">
        <v>251</v>
      </c>
      <c r="D2028" s="4">
        <f>HYPERLINK("https://cao.dolgi.msk.ru/account/1060895744/", 1060895744)</f>
        <v>1060895744</v>
      </c>
      <c r="E2028" s="3">
        <v>7923.19</v>
      </c>
    </row>
    <row r="2029" spans="1:5" x14ac:dyDescent="0.25">
      <c r="A2029" s="3" t="s">
        <v>5</v>
      </c>
      <c r="B2029" s="3" t="s">
        <v>642</v>
      </c>
      <c r="C2029" s="3" t="s">
        <v>256</v>
      </c>
      <c r="D2029" s="4">
        <f>HYPERLINK("https://cao.dolgi.msk.ru/account/1069138125/", 1069138125)</f>
        <v>1069138125</v>
      </c>
      <c r="E2029" s="3">
        <v>53336.88</v>
      </c>
    </row>
    <row r="2030" spans="1:5" x14ac:dyDescent="0.25">
      <c r="A2030" s="3" t="s">
        <v>5</v>
      </c>
      <c r="B2030" s="3" t="s">
        <v>642</v>
      </c>
      <c r="C2030" s="3" t="s">
        <v>260</v>
      </c>
      <c r="D2030" s="4">
        <f>HYPERLINK("https://cao.dolgi.msk.ru/account/1069127979/", 1069127979)</f>
        <v>1069127979</v>
      </c>
      <c r="E2030" s="3">
        <v>18390.900000000001</v>
      </c>
    </row>
    <row r="2031" spans="1:5" x14ac:dyDescent="0.25">
      <c r="A2031" s="3" t="s">
        <v>5</v>
      </c>
      <c r="B2031" s="3" t="s">
        <v>642</v>
      </c>
      <c r="C2031" s="3" t="s">
        <v>277</v>
      </c>
      <c r="D2031" s="4">
        <f>HYPERLINK("https://cao.dolgi.msk.ru/account/1069134829/", 1069134829)</f>
        <v>1069134829</v>
      </c>
      <c r="E2031" s="3">
        <v>16742.64</v>
      </c>
    </row>
    <row r="2032" spans="1:5" x14ac:dyDescent="0.25">
      <c r="A2032" s="3" t="s">
        <v>5</v>
      </c>
      <c r="B2032" s="3" t="s">
        <v>642</v>
      </c>
      <c r="C2032" s="3" t="s">
        <v>294</v>
      </c>
      <c r="D2032" s="4">
        <f>HYPERLINK("https://cao.dolgi.msk.ru/account/1069125674/", 1069125674)</f>
        <v>1069125674</v>
      </c>
      <c r="E2032" s="3">
        <v>40216.28</v>
      </c>
    </row>
    <row r="2033" spans="1:5" x14ac:dyDescent="0.25">
      <c r="A2033" s="3" t="s">
        <v>5</v>
      </c>
      <c r="B2033" s="3" t="s">
        <v>643</v>
      </c>
      <c r="C2033" s="3" t="s">
        <v>130</v>
      </c>
      <c r="D2033" s="4">
        <f>HYPERLINK("https://cao.dolgi.msk.ru/account/1060428871/", 1060428871)</f>
        <v>1060428871</v>
      </c>
      <c r="E2033" s="3">
        <v>33187.53</v>
      </c>
    </row>
    <row r="2034" spans="1:5" x14ac:dyDescent="0.25">
      <c r="A2034" s="3" t="s">
        <v>5</v>
      </c>
      <c r="B2034" s="3" t="s">
        <v>643</v>
      </c>
      <c r="C2034" s="3" t="s">
        <v>141</v>
      </c>
      <c r="D2034" s="4">
        <f>HYPERLINK("https://cao.dolgi.msk.ru/account/1060429057/", 1060429057)</f>
        <v>1060429057</v>
      </c>
      <c r="E2034" s="3">
        <v>14566.34</v>
      </c>
    </row>
    <row r="2035" spans="1:5" x14ac:dyDescent="0.25">
      <c r="A2035" s="3" t="s">
        <v>5</v>
      </c>
      <c r="B2035" s="3" t="s">
        <v>643</v>
      </c>
      <c r="C2035" s="3" t="s">
        <v>12</v>
      </c>
      <c r="D2035" s="4">
        <f>HYPERLINK("https://cao.dolgi.msk.ru/account/1060429137/", 1060429137)</f>
        <v>1060429137</v>
      </c>
      <c r="E2035" s="3">
        <v>27140.400000000001</v>
      </c>
    </row>
    <row r="2036" spans="1:5" x14ac:dyDescent="0.25">
      <c r="A2036" s="3" t="s">
        <v>5</v>
      </c>
      <c r="B2036" s="3" t="s">
        <v>643</v>
      </c>
      <c r="C2036" s="3" t="s">
        <v>15</v>
      </c>
      <c r="D2036" s="4">
        <f>HYPERLINK("https://cao.dolgi.msk.ru/account/1060429161/", 1060429161)</f>
        <v>1060429161</v>
      </c>
      <c r="E2036" s="3">
        <v>14554.07</v>
      </c>
    </row>
    <row r="2037" spans="1:5" x14ac:dyDescent="0.25">
      <c r="A2037" s="3" t="s">
        <v>5</v>
      </c>
      <c r="B2037" s="3" t="s">
        <v>643</v>
      </c>
      <c r="C2037" s="3" t="s">
        <v>23</v>
      </c>
      <c r="D2037" s="4">
        <f>HYPERLINK("https://cao.dolgi.msk.ru/account/1060429268/", 1060429268)</f>
        <v>1060429268</v>
      </c>
      <c r="E2037" s="3">
        <v>12328.96</v>
      </c>
    </row>
    <row r="2038" spans="1:5" x14ac:dyDescent="0.25">
      <c r="A2038" s="3" t="s">
        <v>5</v>
      </c>
      <c r="B2038" s="3" t="s">
        <v>643</v>
      </c>
      <c r="C2038" s="3" t="s">
        <v>40</v>
      </c>
      <c r="D2038" s="4">
        <f>HYPERLINK("https://cao.dolgi.msk.ru/account/1060429452/", 1060429452)</f>
        <v>1060429452</v>
      </c>
      <c r="E2038" s="3">
        <v>5776.76</v>
      </c>
    </row>
    <row r="2039" spans="1:5" x14ac:dyDescent="0.25">
      <c r="A2039" s="3" t="s">
        <v>5</v>
      </c>
      <c r="B2039" s="3" t="s">
        <v>643</v>
      </c>
      <c r="C2039" s="3" t="s">
        <v>41</v>
      </c>
      <c r="D2039" s="4">
        <f>HYPERLINK("https://cao.dolgi.msk.ru/account/1060429479/", 1060429479)</f>
        <v>1060429479</v>
      </c>
      <c r="E2039" s="3">
        <v>4166.68</v>
      </c>
    </row>
    <row r="2040" spans="1:5" x14ac:dyDescent="0.25">
      <c r="A2040" s="3" t="s">
        <v>5</v>
      </c>
      <c r="B2040" s="3" t="s">
        <v>644</v>
      </c>
      <c r="C2040" s="3" t="s">
        <v>137</v>
      </c>
      <c r="D2040" s="4">
        <f>HYPERLINK("https://cao.dolgi.msk.ru/account/1060429735/", 1060429735)</f>
        <v>1060429735</v>
      </c>
      <c r="E2040" s="3">
        <v>3877.38</v>
      </c>
    </row>
    <row r="2041" spans="1:5" x14ac:dyDescent="0.25">
      <c r="A2041" s="3" t="s">
        <v>5</v>
      </c>
      <c r="B2041" s="3" t="s">
        <v>644</v>
      </c>
      <c r="C2041" s="3" t="s">
        <v>11</v>
      </c>
      <c r="D2041" s="4">
        <f>HYPERLINK("https://cao.dolgi.msk.ru/account/1060429831/", 1060429831)</f>
        <v>1060429831</v>
      </c>
      <c r="E2041" s="3">
        <v>344056.19</v>
      </c>
    </row>
    <row r="2042" spans="1:5" x14ac:dyDescent="0.25">
      <c r="A2042" s="3" t="s">
        <v>5</v>
      </c>
      <c r="B2042" s="3" t="s">
        <v>644</v>
      </c>
      <c r="C2042" s="3" t="s">
        <v>15</v>
      </c>
      <c r="D2042" s="4">
        <f>HYPERLINK("https://cao.dolgi.msk.ru/account/1060429882/", 1060429882)</f>
        <v>1060429882</v>
      </c>
      <c r="E2042" s="3">
        <v>16452.75</v>
      </c>
    </row>
    <row r="2043" spans="1:5" x14ac:dyDescent="0.25">
      <c r="A2043" s="3" t="s">
        <v>5</v>
      </c>
      <c r="B2043" s="3" t="s">
        <v>644</v>
      </c>
      <c r="C2043" s="3" t="s">
        <v>29</v>
      </c>
      <c r="D2043" s="4">
        <f>HYPERLINK("https://cao.dolgi.msk.ru/account/1060430066/", 1060430066)</f>
        <v>1060430066</v>
      </c>
      <c r="E2043" s="3">
        <v>3699.83</v>
      </c>
    </row>
    <row r="2044" spans="1:5" x14ac:dyDescent="0.25">
      <c r="A2044" s="3" t="s">
        <v>5</v>
      </c>
      <c r="B2044" s="3" t="s">
        <v>644</v>
      </c>
      <c r="C2044" s="3" t="s">
        <v>32</v>
      </c>
      <c r="D2044" s="4">
        <f>HYPERLINK("https://cao.dolgi.msk.ru/account/1060430082/", 1060430082)</f>
        <v>1060430082</v>
      </c>
      <c r="E2044" s="3">
        <v>48977.98</v>
      </c>
    </row>
    <row r="2045" spans="1:5" x14ac:dyDescent="0.25">
      <c r="A2045" s="3" t="s">
        <v>5</v>
      </c>
      <c r="B2045" s="3" t="s">
        <v>644</v>
      </c>
      <c r="C2045" s="3" t="s">
        <v>35</v>
      </c>
      <c r="D2045" s="4">
        <f>HYPERLINK("https://cao.dolgi.msk.ru/account/1060430138/", 1060430138)</f>
        <v>1060430138</v>
      </c>
      <c r="E2045" s="3">
        <v>111324.26</v>
      </c>
    </row>
    <row r="2046" spans="1:5" x14ac:dyDescent="0.25">
      <c r="A2046" s="3" t="s">
        <v>5</v>
      </c>
      <c r="B2046" s="3" t="s">
        <v>644</v>
      </c>
      <c r="C2046" s="3" t="s">
        <v>38</v>
      </c>
      <c r="D2046" s="4">
        <f>HYPERLINK("https://cao.dolgi.msk.ru/account/1060430162/", 1060430162)</f>
        <v>1060430162</v>
      </c>
      <c r="E2046" s="3">
        <v>4958.57</v>
      </c>
    </row>
    <row r="2047" spans="1:5" x14ac:dyDescent="0.25">
      <c r="A2047" s="3" t="s">
        <v>5</v>
      </c>
      <c r="B2047" s="3" t="s">
        <v>645</v>
      </c>
      <c r="C2047" s="3" t="s">
        <v>131</v>
      </c>
      <c r="D2047" s="4">
        <f>HYPERLINK("https://cao.dolgi.msk.ru/account/1060430373/", 1060430373)</f>
        <v>1060430373</v>
      </c>
      <c r="E2047" s="3">
        <v>3969.03</v>
      </c>
    </row>
    <row r="2048" spans="1:5" x14ac:dyDescent="0.25">
      <c r="A2048" s="3" t="s">
        <v>5</v>
      </c>
      <c r="B2048" s="3" t="s">
        <v>645</v>
      </c>
      <c r="C2048" s="3" t="s">
        <v>31</v>
      </c>
      <c r="D2048" s="4">
        <f>HYPERLINK("https://cao.dolgi.msk.ru/account/1060430824/", 1060430824)</f>
        <v>1060430824</v>
      </c>
      <c r="E2048" s="3">
        <v>11123.8</v>
      </c>
    </row>
    <row r="2049" spans="1:5" x14ac:dyDescent="0.25">
      <c r="A2049" s="3" t="s">
        <v>5</v>
      </c>
      <c r="B2049" s="3" t="s">
        <v>646</v>
      </c>
      <c r="C2049" s="3" t="s">
        <v>105</v>
      </c>
      <c r="D2049" s="4">
        <f>HYPERLINK("https://cao.dolgi.msk.ru/account/1060779727/", 1060779727)</f>
        <v>1060779727</v>
      </c>
      <c r="E2049" s="3">
        <v>79995.7</v>
      </c>
    </row>
    <row r="2050" spans="1:5" x14ac:dyDescent="0.25">
      <c r="A2050" s="3" t="s">
        <v>5</v>
      </c>
      <c r="B2050" s="3" t="s">
        <v>646</v>
      </c>
      <c r="C2050" s="3" t="s">
        <v>139</v>
      </c>
      <c r="D2050" s="4">
        <f>HYPERLINK("https://cao.dolgi.msk.ru/account/1069108006/", 1069108006)</f>
        <v>1069108006</v>
      </c>
      <c r="E2050" s="3">
        <v>195675.16</v>
      </c>
    </row>
    <row r="2051" spans="1:5" x14ac:dyDescent="0.25">
      <c r="A2051" s="3" t="s">
        <v>5</v>
      </c>
      <c r="B2051" s="3" t="s">
        <v>646</v>
      </c>
      <c r="C2051" s="3" t="s">
        <v>15</v>
      </c>
      <c r="D2051" s="4">
        <f>HYPERLINK("https://cao.dolgi.msk.ru/account/1069109359/", 1069109359)</f>
        <v>1069109359</v>
      </c>
      <c r="E2051" s="3">
        <v>4944.95</v>
      </c>
    </row>
    <row r="2052" spans="1:5" x14ac:dyDescent="0.25">
      <c r="A2052" s="3" t="s">
        <v>5</v>
      </c>
      <c r="B2052" s="3" t="s">
        <v>646</v>
      </c>
      <c r="C2052" s="3" t="s">
        <v>23</v>
      </c>
      <c r="D2052" s="4">
        <f>HYPERLINK("https://cao.dolgi.msk.ru/account/1060780023/", 1060780023)</f>
        <v>1060780023</v>
      </c>
      <c r="E2052" s="3">
        <v>110607.7</v>
      </c>
    </row>
    <row r="2053" spans="1:5" x14ac:dyDescent="0.25">
      <c r="A2053" s="3" t="s">
        <v>5</v>
      </c>
      <c r="B2053" s="3" t="s">
        <v>646</v>
      </c>
      <c r="C2053" s="3" t="s">
        <v>32</v>
      </c>
      <c r="D2053" s="4">
        <f>HYPERLINK("https://cao.dolgi.msk.ru/account/1060780138/", 1060780138)</f>
        <v>1060780138</v>
      </c>
      <c r="E2053" s="3">
        <v>103754.18</v>
      </c>
    </row>
    <row r="2054" spans="1:5" x14ac:dyDescent="0.25">
      <c r="A2054" s="3" t="s">
        <v>5</v>
      </c>
      <c r="B2054" s="3" t="s">
        <v>646</v>
      </c>
      <c r="C2054" s="3" t="s">
        <v>33</v>
      </c>
      <c r="D2054" s="4">
        <f>HYPERLINK("https://cao.dolgi.msk.ru/account/1069108751/", 1069108751)</f>
        <v>1069108751</v>
      </c>
      <c r="E2054" s="3">
        <v>35149.379999999997</v>
      </c>
    </row>
    <row r="2055" spans="1:5" x14ac:dyDescent="0.25">
      <c r="A2055" s="3" t="s">
        <v>5</v>
      </c>
      <c r="B2055" s="3" t="s">
        <v>646</v>
      </c>
      <c r="C2055" s="3" t="s">
        <v>37</v>
      </c>
      <c r="D2055" s="4">
        <f>HYPERLINK("https://cao.dolgi.msk.ru/account/1069109551/", 1069109551)</f>
        <v>1069109551</v>
      </c>
      <c r="E2055" s="3">
        <v>8530.8700000000008</v>
      </c>
    </row>
    <row r="2056" spans="1:5" x14ac:dyDescent="0.25">
      <c r="A2056" s="3" t="s">
        <v>5</v>
      </c>
      <c r="B2056" s="3" t="s">
        <v>646</v>
      </c>
      <c r="C2056" s="3" t="s">
        <v>39</v>
      </c>
      <c r="D2056" s="4">
        <f>HYPERLINK("https://cao.dolgi.msk.ru/account/1060780226/", 1060780226)</f>
        <v>1060780226</v>
      </c>
      <c r="E2056" s="3">
        <v>47380.78</v>
      </c>
    </row>
    <row r="2057" spans="1:5" x14ac:dyDescent="0.25">
      <c r="A2057" s="3" t="s">
        <v>5</v>
      </c>
      <c r="B2057" s="3" t="s">
        <v>646</v>
      </c>
      <c r="C2057" s="3" t="s">
        <v>43</v>
      </c>
      <c r="D2057" s="4">
        <f>HYPERLINK("https://cao.dolgi.msk.ru/account/1069108487/", 1069108487)</f>
        <v>1069108487</v>
      </c>
      <c r="E2057" s="3">
        <v>16181.75</v>
      </c>
    </row>
    <row r="2058" spans="1:5" x14ac:dyDescent="0.25">
      <c r="A2058" s="3" t="s">
        <v>5</v>
      </c>
      <c r="B2058" s="3" t="s">
        <v>646</v>
      </c>
      <c r="C2058" s="3" t="s">
        <v>74</v>
      </c>
      <c r="D2058" s="4">
        <f>HYPERLINK("https://cao.dolgi.msk.ru/account/1069108735/", 1069108735)</f>
        <v>1069108735</v>
      </c>
      <c r="E2058" s="3">
        <v>95673.76</v>
      </c>
    </row>
    <row r="2059" spans="1:5" x14ac:dyDescent="0.25">
      <c r="A2059" s="3" t="s">
        <v>5</v>
      </c>
      <c r="B2059" s="3" t="s">
        <v>646</v>
      </c>
      <c r="C2059" s="3" t="s">
        <v>90</v>
      </c>
      <c r="D2059" s="4">
        <f>HYPERLINK("https://cao.dolgi.msk.ru/account/1060780752/", 1060780752)</f>
        <v>1060780752</v>
      </c>
      <c r="E2059" s="3">
        <v>229944.18</v>
      </c>
    </row>
    <row r="2060" spans="1:5" x14ac:dyDescent="0.25">
      <c r="A2060" s="3" t="s">
        <v>5</v>
      </c>
      <c r="B2060" s="3" t="s">
        <v>646</v>
      </c>
      <c r="C2060" s="3" t="s">
        <v>149</v>
      </c>
      <c r="D2060" s="4">
        <f>HYPERLINK("https://cao.dolgi.msk.ru/account/1060781106/", 1060781106)</f>
        <v>1060781106</v>
      </c>
      <c r="E2060" s="3">
        <v>7154.6</v>
      </c>
    </row>
    <row r="2061" spans="1:5" x14ac:dyDescent="0.25">
      <c r="A2061" s="3" t="s">
        <v>5</v>
      </c>
      <c r="B2061" s="3" t="s">
        <v>646</v>
      </c>
      <c r="C2061" s="3" t="s">
        <v>178</v>
      </c>
      <c r="D2061" s="4">
        <f>HYPERLINK("https://cao.dolgi.msk.ru/account/1069109121/", 1069109121)</f>
        <v>1069109121</v>
      </c>
      <c r="E2061" s="3">
        <v>5739.45</v>
      </c>
    </row>
    <row r="2062" spans="1:5" x14ac:dyDescent="0.25">
      <c r="A2062" s="3" t="s">
        <v>5</v>
      </c>
      <c r="B2062" s="3" t="s">
        <v>646</v>
      </c>
      <c r="C2062" s="3" t="s">
        <v>198</v>
      </c>
      <c r="D2062" s="4">
        <f>HYPERLINK("https://cao.dolgi.msk.ru/account/1060781667/", 1060781667)</f>
        <v>1060781667</v>
      </c>
      <c r="E2062" s="3">
        <v>7529.24</v>
      </c>
    </row>
    <row r="2063" spans="1:5" x14ac:dyDescent="0.25">
      <c r="A2063" s="3" t="s">
        <v>5</v>
      </c>
      <c r="B2063" s="3" t="s">
        <v>646</v>
      </c>
      <c r="C2063" s="3" t="s">
        <v>199</v>
      </c>
      <c r="D2063" s="4">
        <f>HYPERLINK("https://cao.dolgi.msk.ru/account/1069107708/", 1069107708)</f>
        <v>1069107708</v>
      </c>
      <c r="E2063" s="3">
        <v>7528.02</v>
      </c>
    </row>
    <row r="2064" spans="1:5" x14ac:dyDescent="0.25">
      <c r="A2064" s="3" t="s">
        <v>5</v>
      </c>
      <c r="B2064" s="3" t="s">
        <v>646</v>
      </c>
      <c r="C2064" s="3" t="s">
        <v>220</v>
      </c>
      <c r="D2064" s="4">
        <f>HYPERLINK("https://cao.dolgi.msk.ru/account/1060781851/", 1060781851)</f>
        <v>1060781851</v>
      </c>
      <c r="E2064" s="3">
        <v>7584.03</v>
      </c>
    </row>
    <row r="2065" spans="1:5" x14ac:dyDescent="0.25">
      <c r="A2065" s="3" t="s">
        <v>5</v>
      </c>
      <c r="B2065" s="3" t="s">
        <v>646</v>
      </c>
      <c r="C2065" s="3" t="s">
        <v>222</v>
      </c>
      <c r="D2065" s="4">
        <f>HYPERLINK("https://cao.dolgi.msk.ru/account/1069111061/", 1069111061)</f>
        <v>1069111061</v>
      </c>
      <c r="E2065" s="3">
        <v>5789.66</v>
      </c>
    </row>
    <row r="2066" spans="1:5" x14ac:dyDescent="0.25">
      <c r="A2066" s="3" t="s">
        <v>5</v>
      </c>
      <c r="B2066" s="3" t="s">
        <v>646</v>
      </c>
      <c r="C2066" s="3" t="s">
        <v>223</v>
      </c>
      <c r="D2066" s="4">
        <f>HYPERLINK("https://cao.dolgi.msk.ru/account/1060779452/", 1060779452)</f>
        <v>1060779452</v>
      </c>
      <c r="E2066" s="3">
        <v>38234.9</v>
      </c>
    </row>
    <row r="2067" spans="1:5" x14ac:dyDescent="0.25">
      <c r="A2067" s="3" t="s">
        <v>5</v>
      </c>
      <c r="B2067" s="3" t="s">
        <v>646</v>
      </c>
      <c r="C2067" s="3" t="s">
        <v>242</v>
      </c>
      <c r="D2067" s="4">
        <f>HYPERLINK("https://cao.dolgi.msk.ru/account/1069114326/", 1069114326)</f>
        <v>1069114326</v>
      </c>
      <c r="E2067" s="3">
        <v>26538.46</v>
      </c>
    </row>
    <row r="2068" spans="1:5" x14ac:dyDescent="0.25">
      <c r="A2068" s="3" t="s">
        <v>5</v>
      </c>
      <c r="B2068" s="3" t="s">
        <v>646</v>
      </c>
      <c r="C2068" s="3" t="s">
        <v>243</v>
      </c>
      <c r="D2068" s="4">
        <f>HYPERLINK("https://cao.dolgi.msk.ru/account/1060782168/", 1060782168)</f>
        <v>1060782168</v>
      </c>
      <c r="E2068" s="3">
        <v>23942.36</v>
      </c>
    </row>
    <row r="2069" spans="1:5" x14ac:dyDescent="0.25">
      <c r="A2069" s="3" t="s">
        <v>5</v>
      </c>
      <c r="B2069" s="3" t="s">
        <v>646</v>
      </c>
      <c r="C2069" s="3" t="s">
        <v>244</v>
      </c>
      <c r="D2069" s="4">
        <f>HYPERLINK("https://cao.dolgi.msk.ru/account/1060782176/", 1060782176)</f>
        <v>1060782176</v>
      </c>
      <c r="E2069" s="3">
        <v>13934.49</v>
      </c>
    </row>
    <row r="2070" spans="1:5" x14ac:dyDescent="0.25">
      <c r="A2070" s="3" t="s">
        <v>5</v>
      </c>
      <c r="B2070" s="3" t="s">
        <v>646</v>
      </c>
      <c r="C2070" s="3" t="s">
        <v>264</v>
      </c>
      <c r="D2070" s="4">
        <f>HYPERLINK("https://cao.dolgi.msk.ru/account/1069117404/", 1069117404)</f>
        <v>1069117404</v>
      </c>
      <c r="E2070" s="3">
        <v>8651.59</v>
      </c>
    </row>
    <row r="2071" spans="1:5" x14ac:dyDescent="0.25">
      <c r="A2071" s="3" t="s">
        <v>5</v>
      </c>
      <c r="B2071" s="3" t="s">
        <v>646</v>
      </c>
      <c r="C2071" s="3" t="s">
        <v>265</v>
      </c>
      <c r="D2071" s="4">
        <f>HYPERLINK("https://cao.dolgi.msk.ru/account/1069111475/", 1069111475)</f>
        <v>1069111475</v>
      </c>
      <c r="E2071" s="3">
        <v>7697.13</v>
      </c>
    </row>
    <row r="2072" spans="1:5" x14ac:dyDescent="0.25">
      <c r="A2072" s="3" t="s">
        <v>5</v>
      </c>
      <c r="B2072" s="3" t="s">
        <v>646</v>
      </c>
      <c r="C2072" s="3" t="s">
        <v>275</v>
      </c>
      <c r="D2072" s="4">
        <f>HYPERLINK("https://cao.dolgi.msk.ru/account/1069109789/", 1069109789)</f>
        <v>1069109789</v>
      </c>
      <c r="E2072" s="3">
        <v>66959.460000000006</v>
      </c>
    </row>
    <row r="2073" spans="1:5" x14ac:dyDescent="0.25">
      <c r="A2073" s="3" t="s">
        <v>5</v>
      </c>
      <c r="B2073" s="3" t="s">
        <v>646</v>
      </c>
      <c r="C2073" s="3" t="s">
        <v>284</v>
      </c>
      <c r="D2073" s="4">
        <f>HYPERLINK("https://cao.dolgi.msk.ru/account/1060782707/", 1060782707)</f>
        <v>1060782707</v>
      </c>
      <c r="E2073" s="3">
        <v>183723.97</v>
      </c>
    </row>
    <row r="2074" spans="1:5" x14ac:dyDescent="0.25">
      <c r="A2074" s="3" t="s">
        <v>5</v>
      </c>
      <c r="B2074" s="3" t="s">
        <v>646</v>
      </c>
      <c r="C2074" s="3" t="s">
        <v>299</v>
      </c>
      <c r="D2074" s="4">
        <f>HYPERLINK("https://cao.dolgi.msk.ru/account/1069107425/", 1069107425)</f>
        <v>1069107425</v>
      </c>
      <c r="E2074" s="3">
        <v>11661.86</v>
      </c>
    </row>
    <row r="2075" spans="1:5" x14ac:dyDescent="0.25">
      <c r="A2075" s="3" t="s">
        <v>5</v>
      </c>
      <c r="B2075" s="3" t="s">
        <v>646</v>
      </c>
      <c r="C2075" s="3" t="s">
        <v>122</v>
      </c>
      <c r="D2075" s="4">
        <f>HYPERLINK("https://cao.dolgi.msk.ru/account/1060782774/", 1060782774)</f>
        <v>1060782774</v>
      </c>
      <c r="E2075" s="3">
        <v>20663.88</v>
      </c>
    </row>
    <row r="2076" spans="1:5" x14ac:dyDescent="0.25">
      <c r="A2076" s="3" t="s">
        <v>5</v>
      </c>
      <c r="B2076" s="3" t="s">
        <v>646</v>
      </c>
      <c r="C2076" s="3" t="s">
        <v>309</v>
      </c>
      <c r="D2076" s="4">
        <f>HYPERLINK("https://cao.dolgi.msk.ru/account/1069108137/", 1069108137)</f>
        <v>1069108137</v>
      </c>
      <c r="E2076" s="3">
        <v>12998.94</v>
      </c>
    </row>
    <row r="2077" spans="1:5" x14ac:dyDescent="0.25">
      <c r="A2077" s="3" t="s">
        <v>5</v>
      </c>
      <c r="B2077" s="3" t="s">
        <v>646</v>
      </c>
      <c r="C2077" s="3" t="s">
        <v>315</v>
      </c>
      <c r="D2077" s="4">
        <f>HYPERLINK("https://cao.dolgi.msk.ru/account/1069109455/", 1069109455)</f>
        <v>1069109455</v>
      </c>
      <c r="E2077" s="3">
        <v>7208.84</v>
      </c>
    </row>
    <row r="2078" spans="1:5" x14ac:dyDescent="0.25">
      <c r="A2078" s="3" t="s">
        <v>5</v>
      </c>
      <c r="B2078" s="3" t="s">
        <v>646</v>
      </c>
      <c r="C2078" s="3" t="s">
        <v>316</v>
      </c>
      <c r="D2078" s="4">
        <f>HYPERLINK("https://cao.dolgi.msk.ru/account/1060782846/", 1060782846)</f>
        <v>1060782846</v>
      </c>
      <c r="E2078" s="3">
        <v>3312.33</v>
      </c>
    </row>
    <row r="2079" spans="1:5" x14ac:dyDescent="0.25">
      <c r="A2079" s="3" t="s">
        <v>5</v>
      </c>
      <c r="B2079" s="3" t="s">
        <v>646</v>
      </c>
      <c r="C2079" s="3" t="s">
        <v>321</v>
      </c>
      <c r="D2079" s="4">
        <f>HYPERLINK("https://cao.dolgi.msk.ru/account/1060782854/", 1060782854)</f>
        <v>1060782854</v>
      </c>
      <c r="E2079" s="3">
        <v>19888.79</v>
      </c>
    </row>
    <row r="2080" spans="1:5" x14ac:dyDescent="0.25">
      <c r="A2080" s="3" t="s">
        <v>5</v>
      </c>
      <c r="B2080" s="3" t="s">
        <v>646</v>
      </c>
      <c r="C2080" s="3" t="s">
        <v>342</v>
      </c>
      <c r="D2080" s="4">
        <f>HYPERLINK("https://cao.dolgi.msk.ru/account/1069107345/", 1069107345)</f>
        <v>1069107345</v>
      </c>
      <c r="E2080" s="3">
        <v>7169.63</v>
      </c>
    </row>
    <row r="2081" spans="1:5" x14ac:dyDescent="0.25">
      <c r="A2081" s="3" t="s">
        <v>5</v>
      </c>
      <c r="B2081" s="3" t="s">
        <v>646</v>
      </c>
      <c r="C2081" s="3" t="s">
        <v>350</v>
      </c>
      <c r="D2081" s="4">
        <f>HYPERLINK("https://cao.dolgi.msk.ru/account/1069108321/", 1069108321)</f>
        <v>1069108321</v>
      </c>
      <c r="E2081" s="3">
        <v>25475.85</v>
      </c>
    </row>
    <row r="2082" spans="1:5" x14ac:dyDescent="0.25">
      <c r="A2082" s="3" t="s">
        <v>5</v>
      </c>
      <c r="B2082" s="3" t="s">
        <v>646</v>
      </c>
      <c r="C2082" s="3" t="s">
        <v>353</v>
      </c>
      <c r="D2082" s="4">
        <f>HYPERLINK("https://cao.dolgi.msk.ru/account/1069110624/", 1069110624)</f>
        <v>1069110624</v>
      </c>
      <c r="E2082" s="3">
        <v>14585.97</v>
      </c>
    </row>
    <row r="2083" spans="1:5" x14ac:dyDescent="0.25">
      <c r="A2083" s="3" t="s">
        <v>5</v>
      </c>
      <c r="B2083" s="3" t="s">
        <v>646</v>
      </c>
      <c r="C2083" s="3" t="s">
        <v>359</v>
      </c>
      <c r="D2083" s="4">
        <f>HYPERLINK("https://cao.dolgi.msk.ru/account/1069108196/", 1069108196)</f>
        <v>1069108196</v>
      </c>
      <c r="E2083" s="3">
        <v>5781.98</v>
      </c>
    </row>
    <row r="2084" spans="1:5" x14ac:dyDescent="0.25">
      <c r="A2084" s="3" t="s">
        <v>5</v>
      </c>
      <c r="B2084" s="3" t="s">
        <v>646</v>
      </c>
      <c r="C2084" s="3" t="s">
        <v>360</v>
      </c>
      <c r="D2084" s="4">
        <f>HYPERLINK("https://cao.dolgi.msk.ru/account/1060783005/", 1060783005)</f>
        <v>1060783005</v>
      </c>
      <c r="E2084" s="3">
        <v>193676.05</v>
      </c>
    </row>
    <row r="2085" spans="1:5" x14ac:dyDescent="0.25">
      <c r="A2085" s="3" t="s">
        <v>5</v>
      </c>
      <c r="B2085" s="3" t="s">
        <v>646</v>
      </c>
      <c r="C2085" s="3" t="s">
        <v>363</v>
      </c>
      <c r="D2085" s="4">
        <f>HYPERLINK("https://cao.dolgi.msk.ru/account/1060782627/", 1060782627)</f>
        <v>1060782627</v>
      </c>
      <c r="E2085" s="3">
        <v>29857.77</v>
      </c>
    </row>
    <row r="2086" spans="1:5" x14ac:dyDescent="0.25">
      <c r="A2086" s="3" t="s">
        <v>5</v>
      </c>
      <c r="B2086" s="3" t="s">
        <v>646</v>
      </c>
      <c r="C2086" s="3" t="s">
        <v>364</v>
      </c>
      <c r="D2086" s="4">
        <f>HYPERLINK("https://cao.dolgi.msk.ru/account/1069120355/", 1069120355)</f>
        <v>1069120355</v>
      </c>
      <c r="E2086" s="3">
        <v>168973.73</v>
      </c>
    </row>
    <row r="2087" spans="1:5" x14ac:dyDescent="0.25">
      <c r="A2087" s="3" t="s">
        <v>5</v>
      </c>
      <c r="B2087" s="3" t="s">
        <v>646</v>
      </c>
      <c r="C2087" s="3" t="s">
        <v>370</v>
      </c>
      <c r="D2087" s="4">
        <f>HYPERLINK("https://cao.dolgi.msk.ru/account/1069109113/", 1069109113)</f>
        <v>1069109113</v>
      </c>
      <c r="E2087" s="3">
        <v>9725.08</v>
      </c>
    </row>
    <row r="2088" spans="1:5" x14ac:dyDescent="0.25">
      <c r="A2088" s="3" t="s">
        <v>5</v>
      </c>
      <c r="B2088" s="3" t="s">
        <v>646</v>
      </c>
      <c r="C2088" s="3" t="s">
        <v>371</v>
      </c>
      <c r="D2088" s="4">
        <f>HYPERLINK("https://cao.dolgi.msk.ru/account/1069113251/", 1069113251)</f>
        <v>1069113251</v>
      </c>
      <c r="E2088" s="3">
        <v>11875.23</v>
      </c>
    </row>
    <row r="2089" spans="1:5" x14ac:dyDescent="0.25">
      <c r="A2089" s="3" t="s">
        <v>5</v>
      </c>
      <c r="B2089" s="3" t="s">
        <v>646</v>
      </c>
      <c r="C2089" s="3" t="s">
        <v>376</v>
      </c>
      <c r="D2089" s="4">
        <f>HYPERLINK("https://cao.dolgi.msk.ru/account/1060783064/", 1060783064)</f>
        <v>1060783064</v>
      </c>
      <c r="E2089" s="3">
        <v>133634.23999999999</v>
      </c>
    </row>
    <row r="2090" spans="1:5" x14ac:dyDescent="0.25">
      <c r="A2090" s="3" t="s">
        <v>5</v>
      </c>
      <c r="B2090" s="3" t="s">
        <v>646</v>
      </c>
      <c r="C2090" s="3" t="s">
        <v>380</v>
      </c>
      <c r="D2090" s="4">
        <f>HYPERLINK("https://cao.dolgi.msk.ru/account/1069109009/", 1069109009)</f>
        <v>1069109009</v>
      </c>
      <c r="E2090" s="3">
        <v>6393.44</v>
      </c>
    </row>
    <row r="2091" spans="1:5" x14ac:dyDescent="0.25">
      <c r="A2091" s="3" t="s">
        <v>5</v>
      </c>
      <c r="B2091" s="3" t="s">
        <v>647</v>
      </c>
      <c r="C2091" s="3" t="s">
        <v>138</v>
      </c>
      <c r="D2091" s="4">
        <f>HYPERLINK("https://cao.dolgi.msk.ru/account/1060431229/", 1060431229)</f>
        <v>1060431229</v>
      </c>
      <c r="E2091" s="3">
        <v>41740</v>
      </c>
    </row>
    <row r="2092" spans="1:5" x14ac:dyDescent="0.25">
      <c r="A2092" s="3" t="s">
        <v>5</v>
      </c>
      <c r="B2092" s="3" t="s">
        <v>647</v>
      </c>
      <c r="C2092" s="3" t="s">
        <v>141</v>
      </c>
      <c r="D2092" s="4">
        <f>HYPERLINK("https://cao.dolgi.msk.ru/account/1060431253/", 1060431253)</f>
        <v>1060431253</v>
      </c>
      <c r="E2092" s="3">
        <v>4745.93</v>
      </c>
    </row>
    <row r="2093" spans="1:5" x14ac:dyDescent="0.25">
      <c r="A2093" s="3" t="s">
        <v>5</v>
      </c>
      <c r="B2093" s="3" t="s">
        <v>647</v>
      </c>
      <c r="C2093" s="3" t="s">
        <v>22</v>
      </c>
      <c r="D2093" s="4">
        <f>HYPERLINK("https://cao.dolgi.msk.ru/account/1060431448/", 1060431448)</f>
        <v>1060431448</v>
      </c>
      <c r="E2093" s="3">
        <v>11500.45</v>
      </c>
    </row>
    <row r="2094" spans="1:5" x14ac:dyDescent="0.25">
      <c r="A2094" s="3" t="s">
        <v>5</v>
      </c>
      <c r="B2094" s="3" t="s">
        <v>647</v>
      </c>
      <c r="C2094" s="3" t="s">
        <v>32</v>
      </c>
      <c r="D2094" s="4">
        <f>HYPERLINK("https://cao.dolgi.msk.ru/account/1060431552/", 1060431552)</f>
        <v>1060431552</v>
      </c>
      <c r="E2094" s="3">
        <v>11375.51</v>
      </c>
    </row>
    <row r="2095" spans="1:5" x14ac:dyDescent="0.25">
      <c r="A2095" s="3" t="s">
        <v>5</v>
      </c>
      <c r="B2095" s="3" t="s">
        <v>647</v>
      </c>
      <c r="C2095" s="3" t="s">
        <v>37</v>
      </c>
      <c r="D2095" s="4">
        <f>HYPERLINK("https://cao.dolgi.msk.ru/account/1060431616/", 1060431616)</f>
        <v>1060431616</v>
      </c>
      <c r="E2095" s="3">
        <v>40487.97</v>
      </c>
    </row>
    <row r="2096" spans="1:5" x14ac:dyDescent="0.25">
      <c r="A2096" s="3" t="s">
        <v>5</v>
      </c>
      <c r="B2096" s="3" t="s">
        <v>648</v>
      </c>
      <c r="C2096" s="3" t="s">
        <v>136</v>
      </c>
      <c r="D2096" s="4">
        <f>HYPERLINK("https://cao.dolgi.msk.ru/account/1060622535/", 1060622535)</f>
        <v>1060622535</v>
      </c>
      <c r="E2096" s="3">
        <v>9570.51</v>
      </c>
    </row>
    <row r="2097" spans="1:5" x14ac:dyDescent="0.25">
      <c r="A2097" s="3" t="s">
        <v>5</v>
      </c>
      <c r="B2097" s="3" t="s">
        <v>648</v>
      </c>
      <c r="C2097" s="3" t="s">
        <v>15</v>
      </c>
      <c r="D2097" s="4">
        <f>HYPERLINK("https://cao.dolgi.msk.ru/account/1060622703/", 1060622703)</f>
        <v>1060622703</v>
      </c>
      <c r="E2097" s="3">
        <v>276858.92</v>
      </c>
    </row>
    <row r="2098" spans="1:5" x14ac:dyDescent="0.25">
      <c r="A2098" s="3" t="s">
        <v>5</v>
      </c>
      <c r="B2098" s="3" t="s">
        <v>648</v>
      </c>
      <c r="C2098" s="3" t="s">
        <v>21</v>
      </c>
      <c r="D2098" s="4">
        <f>HYPERLINK("https://cao.dolgi.msk.ru/account/1060622789/", 1060622789)</f>
        <v>1060622789</v>
      </c>
      <c r="E2098" s="3">
        <v>57892.53</v>
      </c>
    </row>
    <row r="2099" spans="1:5" x14ac:dyDescent="0.25">
      <c r="A2099" s="3" t="s">
        <v>5</v>
      </c>
      <c r="B2099" s="3" t="s">
        <v>648</v>
      </c>
      <c r="C2099" s="3" t="s">
        <v>64</v>
      </c>
      <c r="D2099" s="4">
        <f>HYPERLINK("https://cao.dolgi.msk.ru/account/1060623319/", 1060623319)</f>
        <v>1060623319</v>
      </c>
      <c r="E2099" s="3">
        <v>21729.05</v>
      </c>
    </row>
    <row r="2100" spans="1:5" x14ac:dyDescent="0.25">
      <c r="A2100" s="3" t="s">
        <v>5</v>
      </c>
      <c r="B2100" s="3" t="s">
        <v>648</v>
      </c>
      <c r="C2100" s="3" t="s">
        <v>75</v>
      </c>
      <c r="D2100" s="4">
        <f>HYPERLINK("https://cao.dolgi.msk.ru/account/1060623386/", 1060623386)</f>
        <v>1060623386</v>
      </c>
      <c r="E2100" s="3">
        <v>18105.11</v>
      </c>
    </row>
    <row r="2101" spans="1:5" x14ac:dyDescent="0.25">
      <c r="A2101" s="3" t="s">
        <v>5</v>
      </c>
      <c r="B2101" s="3" t="s">
        <v>649</v>
      </c>
      <c r="C2101" s="3" t="s">
        <v>22</v>
      </c>
      <c r="D2101" s="4">
        <f>HYPERLINK("https://cao.dolgi.msk.ru/account/1060623853/", 1060623853)</f>
        <v>1060623853</v>
      </c>
      <c r="E2101" s="3">
        <v>5801.62</v>
      </c>
    </row>
    <row r="2102" spans="1:5" x14ac:dyDescent="0.25">
      <c r="A2102" s="3" t="s">
        <v>5</v>
      </c>
      <c r="B2102" s="3" t="s">
        <v>650</v>
      </c>
      <c r="C2102" s="3" t="s">
        <v>138</v>
      </c>
      <c r="D2102" s="4">
        <f>HYPERLINK("https://cao.dolgi.msk.ru/account/1060614631/", 1060614631)</f>
        <v>1060614631</v>
      </c>
      <c r="E2102" s="3">
        <v>21214.26</v>
      </c>
    </row>
    <row r="2103" spans="1:5" x14ac:dyDescent="0.25">
      <c r="A2103" s="3" t="s">
        <v>5</v>
      </c>
      <c r="B2103" s="3" t="s">
        <v>650</v>
      </c>
      <c r="C2103" s="3" t="s">
        <v>142</v>
      </c>
      <c r="D2103" s="4">
        <f>HYPERLINK("https://cao.dolgi.msk.ru/account/1060614682/", 1060614682)</f>
        <v>1060614682</v>
      </c>
      <c r="E2103" s="3">
        <v>11343.79</v>
      </c>
    </row>
    <row r="2104" spans="1:5" x14ac:dyDescent="0.25">
      <c r="A2104" s="3" t="s">
        <v>5</v>
      </c>
      <c r="B2104" s="3" t="s">
        <v>650</v>
      </c>
      <c r="C2104" s="3" t="s">
        <v>10</v>
      </c>
      <c r="D2104" s="4">
        <f>HYPERLINK("https://cao.dolgi.msk.ru/account/1060614738/", 1060614738)</f>
        <v>1060614738</v>
      </c>
      <c r="E2104" s="3">
        <v>10654.48</v>
      </c>
    </row>
    <row r="2105" spans="1:5" x14ac:dyDescent="0.25">
      <c r="A2105" s="3" t="s">
        <v>5</v>
      </c>
      <c r="B2105" s="3" t="s">
        <v>650</v>
      </c>
      <c r="C2105" s="3" t="s">
        <v>13</v>
      </c>
      <c r="D2105" s="4">
        <f>HYPERLINK("https://cao.dolgi.msk.ru/account/1060614762/", 1060614762)</f>
        <v>1060614762</v>
      </c>
      <c r="E2105" s="3">
        <v>343772.77</v>
      </c>
    </row>
    <row r="2106" spans="1:5" x14ac:dyDescent="0.25">
      <c r="A2106" s="3" t="s">
        <v>5</v>
      </c>
      <c r="B2106" s="3" t="s">
        <v>650</v>
      </c>
      <c r="C2106" s="3" t="s">
        <v>28</v>
      </c>
      <c r="D2106" s="4">
        <f>HYPERLINK("https://cao.dolgi.msk.ru/account/1060614965/", 1060614965)</f>
        <v>1060614965</v>
      </c>
      <c r="E2106" s="3">
        <v>4725.5200000000004</v>
      </c>
    </row>
    <row r="2107" spans="1:5" x14ac:dyDescent="0.25">
      <c r="A2107" s="3" t="s">
        <v>5</v>
      </c>
      <c r="B2107" s="3" t="s">
        <v>650</v>
      </c>
      <c r="C2107" s="3" t="s">
        <v>33</v>
      </c>
      <c r="D2107" s="4">
        <f>HYPERLINK("https://cao.dolgi.msk.ru/account/1060615028/", 1060615028)</f>
        <v>1060615028</v>
      </c>
      <c r="E2107" s="3">
        <v>6212.28</v>
      </c>
    </row>
    <row r="2108" spans="1:5" x14ac:dyDescent="0.25">
      <c r="A2108" s="3" t="s">
        <v>5</v>
      </c>
      <c r="B2108" s="3" t="s">
        <v>650</v>
      </c>
      <c r="C2108" s="3" t="s">
        <v>39</v>
      </c>
      <c r="D2108" s="4">
        <f>HYPERLINK("https://cao.dolgi.msk.ru/account/1060615095/", 1060615095)</f>
        <v>1060615095</v>
      </c>
      <c r="E2108" s="3">
        <v>6396.41</v>
      </c>
    </row>
    <row r="2109" spans="1:5" x14ac:dyDescent="0.25">
      <c r="A2109" s="3" t="s">
        <v>5</v>
      </c>
      <c r="B2109" s="3" t="s">
        <v>650</v>
      </c>
      <c r="C2109" s="3" t="s">
        <v>40</v>
      </c>
      <c r="D2109" s="4">
        <f>HYPERLINK("https://cao.dolgi.msk.ru/account/1060615108/", 1060615108)</f>
        <v>1060615108</v>
      </c>
      <c r="E2109" s="3">
        <v>6160.95</v>
      </c>
    </row>
    <row r="2110" spans="1:5" x14ac:dyDescent="0.25">
      <c r="A2110" s="3" t="s">
        <v>5</v>
      </c>
      <c r="B2110" s="3" t="s">
        <v>650</v>
      </c>
      <c r="C2110" s="3" t="s">
        <v>46</v>
      </c>
      <c r="D2110" s="4">
        <f>HYPERLINK("https://cao.dolgi.msk.ru/account/1060615175/", 1060615175)</f>
        <v>1060615175</v>
      </c>
      <c r="E2110" s="3">
        <v>6650.37</v>
      </c>
    </row>
    <row r="2111" spans="1:5" x14ac:dyDescent="0.25">
      <c r="A2111" s="3" t="s">
        <v>5</v>
      </c>
      <c r="B2111" s="3" t="s">
        <v>651</v>
      </c>
      <c r="C2111" s="3" t="s">
        <v>8</v>
      </c>
      <c r="D2111" s="4">
        <f>HYPERLINK("https://cao.dolgi.msk.ru/account/1060615271/", 1060615271)</f>
        <v>1060615271</v>
      </c>
      <c r="E2111" s="3">
        <v>12309.87</v>
      </c>
    </row>
    <row r="2112" spans="1:5" x14ac:dyDescent="0.25">
      <c r="A2112" s="3" t="s">
        <v>5</v>
      </c>
      <c r="B2112" s="3" t="s">
        <v>651</v>
      </c>
      <c r="C2112" s="3" t="s">
        <v>30</v>
      </c>
      <c r="D2112" s="4">
        <f>HYPERLINK("https://cao.dolgi.msk.ru/account/1060890409/", 1060890409)</f>
        <v>1060890409</v>
      </c>
      <c r="E2112" s="3">
        <v>13787.46</v>
      </c>
    </row>
    <row r="2113" spans="1:5" x14ac:dyDescent="0.25">
      <c r="A2113" s="3" t="s">
        <v>5</v>
      </c>
      <c r="B2113" s="3" t="s">
        <v>651</v>
      </c>
      <c r="C2113" s="3" t="s">
        <v>14</v>
      </c>
      <c r="D2113" s="4">
        <f>HYPERLINK("https://cao.dolgi.msk.ru/account/1060615562/", 1060615562)</f>
        <v>1060615562</v>
      </c>
      <c r="E2113" s="3">
        <v>5471.16</v>
      </c>
    </row>
    <row r="2114" spans="1:5" x14ac:dyDescent="0.25">
      <c r="A2114" s="3" t="s">
        <v>5</v>
      </c>
      <c r="B2114" s="3" t="s">
        <v>651</v>
      </c>
      <c r="C2114" s="3" t="s">
        <v>43</v>
      </c>
      <c r="D2114" s="4">
        <f>HYPERLINK("https://cao.dolgi.msk.ru/account/1060615917/", 1060615917)</f>
        <v>1060615917</v>
      </c>
      <c r="E2114" s="3">
        <v>3450.1</v>
      </c>
    </row>
    <row r="2115" spans="1:5" x14ac:dyDescent="0.25">
      <c r="A2115" s="3" t="s">
        <v>5</v>
      </c>
      <c r="B2115" s="3" t="s">
        <v>652</v>
      </c>
      <c r="C2115" s="3" t="s">
        <v>130</v>
      </c>
      <c r="D2115" s="4">
        <f>HYPERLINK("https://cao.dolgi.msk.ru/account/1060613268/", 1060613268)</f>
        <v>1060613268</v>
      </c>
      <c r="E2115" s="3">
        <v>28929.69</v>
      </c>
    </row>
    <row r="2116" spans="1:5" x14ac:dyDescent="0.25">
      <c r="A2116" s="3" t="s">
        <v>5</v>
      </c>
      <c r="B2116" s="3" t="s">
        <v>652</v>
      </c>
      <c r="C2116" s="3" t="s">
        <v>137</v>
      </c>
      <c r="D2116" s="4">
        <f>HYPERLINK("https://cao.dolgi.msk.ru/account/1060613399/", 1060613399)</f>
        <v>1060613399</v>
      </c>
      <c r="E2116" s="3">
        <v>12293.56</v>
      </c>
    </row>
    <row r="2117" spans="1:5" x14ac:dyDescent="0.25">
      <c r="A2117" s="3" t="s">
        <v>5</v>
      </c>
      <c r="B2117" s="3" t="s">
        <v>652</v>
      </c>
      <c r="C2117" s="3" t="s">
        <v>14</v>
      </c>
      <c r="D2117" s="4">
        <f>HYPERLINK("https://cao.dolgi.msk.ru/account/1060613524/", 1060613524)</f>
        <v>1060613524</v>
      </c>
      <c r="E2117" s="3">
        <v>5074.32</v>
      </c>
    </row>
    <row r="2118" spans="1:5" x14ac:dyDescent="0.25">
      <c r="A2118" s="3" t="s">
        <v>5</v>
      </c>
      <c r="B2118" s="3" t="s">
        <v>652</v>
      </c>
      <c r="C2118" s="3" t="s">
        <v>61</v>
      </c>
      <c r="D2118" s="4">
        <f>HYPERLINK("https://cao.dolgi.msk.ru/account/1060614084/", 1060614084)</f>
        <v>1060614084</v>
      </c>
      <c r="E2118" s="3">
        <v>168054.47</v>
      </c>
    </row>
    <row r="2119" spans="1:5" x14ac:dyDescent="0.25">
      <c r="A2119" s="3" t="s">
        <v>5</v>
      </c>
      <c r="B2119" s="3" t="s">
        <v>653</v>
      </c>
      <c r="C2119" s="3" t="s">
        <v>43</v>
      </c>
      <c r="D2119" s="4">
        <f>HYPERLINK("https://cao.dolgi.msk.ru/account/1060613831/", 1060613831)</f>
        <v>1060613831</v>
      </c>
      <c r="E2119" s="3">
        <v>18974.509999999998</v>
      </c>
    </row>
    <row r="2120" spans="1:5" x14ac:dyDescent="0.25">
      <c r="A2120" s="3" t="s">
        <v>5</v>
      </c>
      <c r="B2120" s="3" t="s">
        <v>653</v>
      </c>
      <c r="C2120" s="3" t="s">
        <v>47</v>
      </c>
      <c r="D2120" s="4">
        <f>HYPERLINK("https://cao.dolgi.msk.ru/account/1060613903/", 1060613903)</f>
        <v>1060613903</v>
      </c>
      <c r="E2120" s="3">
        <v>22686.31</v>
      </c>
    </row>
    <row r="2121" spans="1:5" x14ac:dyDescent="0.25">
      <c r="A2121" s="3" t="s">
        <v>5</v>
      </c>
      <c r="B2121" s="3" t="s">
        <v>653</v>
      </c>
      <c r="C2121" s="3" t="s">
        <v>50</v>
      </c>
      <c r="D2121" s="4">
        <f>HYPERLINK("https://cao.dolgi.msk.ru/account/1060613954/", 1060613954)</f>
        <v>1060613954</v>
      </c>
      <c r="E2121" s="3">
        <v>7821.62</v>
      </c>
    </row>
    <row r="2122" spans="1:5" x14ac:dyDescent="0.25">
      <c r="A2122" s="3" t="s">
        <v>5</v>
      </c>
      <c r="B2122" s="3" t="s">
        <v>653</v>
      </c>
      <c r="C2122" s="3" t="s">
        <v>53</v>
      </c>
      <c r="D2122" s="4">
        <f>HYPERLINK("https://cao.dolgi.msk.ru/account/1060613989/", 1060613989)</f>
        <v>1060613989</v>
      </c>
      <c r="E2122" s="3">
        <v>100395.28</v>
      </c>
    </row>
    <row r="2123" spans="1:5" x14ac:dyDescent="0.25">
      <c r="A2123" s="3" t="s">
        <v>5</v>
      </c>
      <c r="B2123" s="3" t="s">
        <v>653</v>
      </c>
      <c r="C2123" s="3" t="s">
        <v>92</v>
      </c>
      <c r="D2123" s="4">
        <f>HYPERLINK("https://cao.dolgi.msk.ru/account/1060614439/", 1060614439)</f>
        <v>1060614439</v>
      </c>
      <c r="E2123" s="3">
        <v>21885.119999999999</v>
      </c>
    </row>
    <row r="2124" spans="1:5" x14ac:dyDescent="0.25">
      <c r="A2124" s="3" t="s">
        <v>5</v>
      </c>
      <c r="B2124" s="3" t="s">
        <v>654</v>
      </c>
      <c r="C2124" s="3" t="s">
        <v>141</v>
      </c>
      <c r="D2124" s="4">
        <f>HYPERLINK("https://cao.dolgi.msk.ru/account/1060630631/", 1060630631)</f>
        <v>1060630631</v>
      </c>
      <c r="E2124" s="3">
        <v>97245.53</v>
      </c>
    </row>
    <row r="2125" spans="1:5" x14ac:dyDescent="0.25">
      <c r="A2125" s="3" t="s">
        <v>5</v>
      </c>
      <c r="B2125" s="3" t="s">
        <v>654</v>
      </c>
      <c r="C2125" s="3" t="s">
        <v>7</v>
      </c>
      <c r="D2125" s="4">
        <f>HYPERLINK("https://cao.dolgi.msk.ru/account/1060630674/", 1060630674)</f>
        <v>1060630674</v>
      </c>
      <c r="E2125" s="3">
        <v>5915.2</v>
      </c>
    </row>
    <row r="2126" spans="1:5" x14ac:dyDescent="0.25">
      <c r="A2126" s="3" t="s">
        <v>5</v>
      </c>
      <c r="B2126" s="3" t="s">
        <v>654</v>
      </c>
      <c r="C2126" s="3" t="s">
        <v>14</v>
      </c>
      <c r="D2126" s="4">
        <f>HYPERLINK("https://cao.dolgi.msk.ru/account/1060630746/", 1060630746)</f>
        <v>1060630746</v>
      </c>
      <c r="E2126" s="3">
        <v>33279.269999999997</v>
      </c>
    </row>
    <row r="2127" spans="1:5" x14ac:dyDescent="0.25">
      <c r="A2127" s="3" t="s">
        <v>5</v>
      </c>
      <c r="B2127" s="3" t="s">
        <v>654</v>
      </c>
      <c r="C2127" s="3" t="s">
        <v>21</v>
      </c>
      <c r="D2127" s="4">
        <f>HYPERLINK("https://cao.dolgi.msk.ru/account/1060630826/", 1060630826)</f>
        <v>1060630826</v>
      </c>
      <c r="E2127" s="3">
        <v>15933.01</v>
      </c>
    </row>
    <row r="2128" spans="1:5" x14ac:dyDescent="0.25">
      <c r="A2128" s="3" t="s">
        <v>5</v>
      </c>
      <c r="B2128" s="3" t="s">
        <v>654</v>
      </c>
      <c r="C2128" s="3" t="s">
        <v>48</v>
      </c>
      <c r="D2128" s="4">
        <f>HYPERLINK("https://cao.dolgi.msk.ru/account/1060631132/", 1060631132)</f>
        <v>1060631132</v>
      </c>
      <c r="E2128" s="3">
        <v>131106.43</v>
      </c>
    </row>
    <row r="2129" spans="1:5" x14ac:dyDescent="0.25">
      <c r="A2129" s="3" t="s">
        <v>5</v>
      </c>
      <c r="B2129" s="3" t="s">
        <v>654</v>
      </c>
      <c r="C2129" s="3" t="s">
        <v>60</v>
      </c>
      <c r="D2129" s="4">
        <f>HYPERLINK("https://cao.dolgi.msk.ru/account/1060631263/", 1060631263)</f>
        <v>1060631263</v>
      </c>
      <c r="E2129" s="3">
        <v>17455.900000000001</v>
      </c>
    </row>
    <row r="2130" spans="1:5" x14ac:dyDescent="0.25">
      <c r="A2130" s="3" t="s">
        <v>5</v>
      </c>
      <c r="B2130" s="3" t="s">
        <v>654</v>
      </c>
      <c r="C2130" s="3" t="s">
        <v>65</v>
      </c>
      <c r="D2130" s="4">
        <f>HYPERLINK("https://cao.dolgi.msk.ru/account/1060631335/", 1060631335)</f>
        <v>1060631335</v>
      </c>
      <c r="E2130" s="3">
        <v>358354.14</v>
      </c>
    </row>
    <row r="2131" spans="1:5" x14ac:dyDescent="0.25">
      <c r="A2131" s="3" t="s">
        <v>5</v>
      </c>
      <c r="B2131" s="3" t="s">
        <v>654</v>
      </c>
      <c r="C2131" s="3" t="s">
        <v>73</v>
      </c>
      <c r="D2131" s="4">
        <f>HYPERLINK("https://cao.dolgi.msk.ru/account/1060631378/", 1060631378)</f>
        <v>1060631378</v>
      </c>
      <c r="E2131" s="3">
        <v>4834.74</v>
      </c>
    </row>
    <row r="2132" spans="1:5" x14ac:dyDescent="0.25">
      <c r="A2132" s="3" t="s">
        <v>5</v>
      </c>
      <c r="B2132" s="3" t="s">
        <v>654</v>
      </c>
      <c r="C2132" s="3" t="s">
        <v>144</v>
      </c>
      <c r="D2132" s="4">
        <f>HYPERLINK("https://cao.dolgi.msk.ru/account/1060631562/", 1060631562)</f>
        <v>1060631562</v>
      </c>
      <c r="E2132" s="3">
        <v>9533.39</v>
      </c>
    </row>
    <row r="2133" spans="1:5" x14ac:dyDescent="0.25">
      <c r="A2133" s="3" t="s">
        <v>5</v>
      </c>
      <c r="B2133" s="3" t="s">
        <v>654</v>
      </c>
      <c r="C2133" s="3" t="s">
        <v>96</v>
      </c>
      <c r="D2133" s="4">
        <f>HYPERLINK("https://cao.dolgi.msk.ru/account/1060631669/", 1060631669)</f>
        <v>1060631669</v>
      </c>
      <c r="E2133" s="3">
        <v>8217.43</v>
      </c>
    </row>
    <row r="2134" spans="1:5" x14ac:dyDescent="0.25">
      <c r="A2134" s="3" t="s">
        <v>5</v>
      </c>
      <c r="B2134" s="3" t="s">
        <v>655</v>
      </c>
      <c r="C2134" s="3" t="s">
        <v>25</v>
      </c>
      <c r="D2134" s="4">
        <f>HYPERLINK("https://cao.dolgi.msk.ru/account/1060626931/", 1060626931)</f>
        <v>1060626931</v>
      </c>
      <c r="E2134" s="3">
        <v>15199.32</v>
      </c>
    </row>
    <row r="2135" spans="1:5" x14ac:dyDescent="0.25">
      <c r="A2135" s="3" t="s">
        <v>5</v>
      </c>
      <c r="B2135" s="3" t="s">
        <v>655</v>
      </c>
      <c r="C2135" s="3" t="s">
        <v>31</v>
      </c>
      <c r="D2135" s="4">
        <f>HYPERLINK("https://cao.dolgi.msk.ru/account/1060771776/", 1060771776)</f>
        <v>1060771776</v>
      </c>
      <c r="E2135" s="3">
        <v>3234.04</v>
      </c>
    </row>
    <row r="2136" spans="1:5" x14ac:dyDescent="0.25">
      <c r="A2136" s="3" t="s">
        <v>5</v>
      </c>
      <c r="B2136" s="3" t="s">
        <v>655</v>
      </c>
      <c r="C2136" s="3" t="s">
        <v>33</v>
      </c>
      <c r="D2136" s="4">
        <f>HYPERLINK("https://cao.dolgi.msk.ru/account/1060627037/", 1060627037)</f>
        <v>1060627037</v>
      </c>
      <c r="E2136" s="3">
        <v>17859.060000000001</v>
      </c>
    </row>
    <row r="2137" spans="1:5" x14ac:dyDescent="0.25">
      <c r="A2137" s="3" t="s">
        <v>5</v>
      </c>
      <c r="B2137" s="3" t="s">
        <v>655</v>
      </c>
      <c r="C2137" s="3" t="s">
        <v>43</v>
      </c>
      <c r="D2137" s="4">
        <f>HYPERLINK("https://cao.dolgi.msk.ru/account/1060627141/", 1060627141)</f>
        <v>1060627141</v>
      </c>
      <c r="E2137" s="3">
        <v>14914.8</v>
      </c>
    </row>
    <row r="2138" spans="1:5" x14ac:dyDescent="0.25">
      <c r="A2138" s="3" t="s">
        <v>5</v>
      </c>
      <c r="B2138" s="3" t="s">
        <v>655</v>
      </c>
      <c r="C2138" s="3" t="s">
        <v>50</v>
      </c>
      <c r="D2138" s="4">
        <f>HYPERLINK("https://cao.dolgi.msk.ru/account/1060627221/", 1060627221)</f>
        <v>1060627221</v>
      </c>
      <c r="E2138" s="3">
        <v>19364.78</v>
      </c>
    </row>
    <row r="2139" spans="1:5" x14ac:dyDescent="0.25">
      <c r="A2139" s="3" t="s">
        <v>5</v>
      </c>
      <c r="B2139" s="3" t="s">
        <v>655</v>
      </c>
      <c r="C2139" s="3" t="s">
        <v>58</v>
      </c>
      <c r="D2139" s="4">
        <f>HYPERLINK("https://cao.dolgi.msk.ru/account/1060627328/", 1060627328)</f>
        <v>1060627328</v>
      </c>
      <c r="E2139" s="3">
        <v>12318.37</v>
      </c>
    </row>
    <row r="2140" spans="1:5" x14ac:dyDescent="0.25">
      <c r="A2140" s="3" t="s">
        <v>5</v>
      </c>
      <c r="B2140" s="3" t="s">
        <v>655</v>
      </c>
      <c r="C2140" s="3" t="s">
        <v>72</v>
      </c>
      <c r="D2140" s="4">
        <f>HYPERLINK("https://cao.dolgi.msk.ru/account/1060627432/", 1060627432)</f>
        <v>1060627432</v>
      </c>
      <c r="E2140" s="3">
        <v>7755.64</v>
      </c>
    </row>
    <row r="2141" spans="1:5" x14ac:dyDescent="0.25">
      <c r="A2141" s="3" t="s">
        <v>5</v>
      </c>
      <c r="B2141" s="3" t="s">
        <v>656</v>
      </c>
      <c r="C2141" s="3" t="s">
        <v>141</v>
      </c>
      <c r="D2141" s="4">
        <f>HYPERLINK("https://cao.dolgi.msk.ru/account/1060627926/", 1060627926)</f>
        <v>1060627926</v>
      </c>
      <c r="E2141" s="3">
        <v>15743.83</v>
      </c>
    </row>
    <row r="2142" spans="1:5" x14ac:dyDescent="0.25">
      <c r="A2142" s="3" t="s">
        <v>5</v>
      </c>
      <c r="B2142" s="3" t="s">
        <v>656</v>
      </c>
      <c r="C2142" s="3" t="s">
        <v>20</v>
      </c>
      <c r="D2142" s="4">
        <f>HYPERLINK("https://cao.dolgi.msk.ru/account/1060628099/", 1060628099)</f>
        <v>1060628099</v>
      </c>
      <c r="E2142" s="3">
        <v>179768.47</v>
      </c>
    </row>
    <row r="2143" spans="1:5" x14ac:dyDescent="0.25">
      <c r="A2143" s="3" t="s">
        <v>5</v>
      </c>
      <c r="B2143" s="3" t="s">
        <v>656</v>
      </c>
      <c r="C2143" s="3" t="s">
        <v>65</v>
      </c>
      <c r="D2143" s="4">
        <f>HYPERLINK("https://cao.dolgi.msk.ru/account/1060628611/", 1060628611)</f>
        <v>1060628611</v>
      </c>
      <c r="E2143" s="3">
        <v>74290.52</v>
      </c>
    </row>
    <row r="2144" spans="1:5" x14ac:dyDescent="0.25">
      <c r="A2144" s="3" t="s">
        <v>5</v>
      </c>
      <c r="B2144" s="3" t="s">
        <v>656</v>
      </c>
      <c r="C2144" s="3" t="s">
        <v>82</v>
      </c>
      <c r="D2144" s="4">
        <f>HYPERLINK("https://cao.dolgi.msk.ru/account/1060628777/", 1060628777)</f>
        <v>1060628777</v>
      </c>
      <c r="E2144" s="3">
        <v>15160.55</v>
      </c>
    </row>
    <row r="2145" spans="1:5" x14ac:dyDescent="0.25">
      <c r="A2145" s="3" t="s">
        <v>5</v>
      </c>
      <c r="B2145" s="3" t="s">
        <v>656</v>
      </c>
      <c r="C2145" s="3" t="s">
        <v>144</v>
      </c>
      <c r="D2145" s="4">
        <f>HYPERLINK("https://cao.dolgi.msk.ru/account/1060818984/", 1060818984)</f>
        <v>1060818984</v>
      </c>
      <c r="E2145" s="3">
        <v>218461.11</v>
      </c>
    </row>
    <row r="2146" spans="1:5" x14ac:dyDescent="0.25">
      <c r="A2146" s="3" t="s">
        <v>5</v>
      </c>
      <c r="B2146" s="3" t="s">
        <v>657</v>
      </c>
      <c r="C2146" s="3" t="s">
        <v>133</v>
      </c>
      <c r="D2146" s="4">
        <f>HYPERLINK("https://cao.dolgi.msk.ru/account/1060629008/", 1060629008)</f>
        <v>1060629008</v>
      </c>
      <c r="E2146" s="3">
        <v>70865.850000000006</v>
      </c>
    </row>
    <row r="2147" spans="1:5" x14ac:dyDescent="0.25">
      <c r="A2147" s="3" t="s">
        <v>5</v>
      </c>
      <c r="B2147" s="3" t="s">
        <v>657</v>
      </c>
      <c r="C2147" s="3" t="s">
        <v>20</v>
      </c>
      <c r="D2147" s="4">
        <f>HYPERLINK("https://cao.dolgi.msk.ru/account/1060629278/", 1060629278)</f>
        <v>1060629278</v>
      </c>
      <c r="E2147" s="3">
        <v>11607.54</v>
      </c>
    </row>
    <row r="2148" spans="1:5" x14ac:dyDescent="0.25">
      <c r="A2148" s="3" t="s">
        <v>5</v>
      </c>
      <c r="B2148" s="3" t="s">
        <v>657</v>
      </c>
      <c r="C2148" s="3" t="s">
        <v>58</v>
      </c>
      <c r="D2148" s="4">
        <f>HYPERLINK("https://cao.dolgi.msk.ru/account/1060629737/", 1060629737)</f>
        <v>1060629737</v>
      </c>
      <c r="E2148" s="3">
        <v>5969.87</v>
      </c>
    </row>
    <row r="2149" spans="1:5" x14ac:dyDescent="0.25">
      <c r="A2149" s="3" t="s">
        <v>5</v>
      </c>
      <c r="B2149" s="3" t="s">
        <v>657</v>
      </c>
      <c r="C2149" s="3" t="s">
        <v>77</v>
      </c>
      <c r="D2149" s="4">
        <f>HYPERLINK("https://cao.dolgi.msk.ru/account/1060629892/", 1060629892)</f>
        <v>1060629892</v>
      </c>
      <c r="E2149" s="3">
        <v>5586.34</v>
      </c>
    </row>
    <row r="2150" spans="1:5" x14ac:dyDescent="0.25">
      <c r="A2150" s="3" t="s">
        <v>5</v>
      </c>
      <c r="B2150" s="3" t="s">
        <v>657</v>
      </c>
      <c r="C2150" s="3" t="s">
        <v>109</v>
      </c>
      <c r="D2150" s="4">
        <f>HYPERLINK("https://cao.dolgi.msk.ru/account/1060630316/", 1060630316)</f>
        <v>1060630316</v>
      </c>
      <c r="E2150" s="3">
        <v>80493.36</v>
      </c>
    </row>
    <row r="2151" spans="1:5" x14ac:dyDescent="0.25">
      <c r="A2151" s="3" t="s">
        <v>5</v>
      </c>
      <c r="B2151" s="3" t="s">
        <v>657</v>
      </c>
      <c r="C2151" s="3" t="s">
        <v>110</v>
      </c>
      <c r="D2151" s="4">
        <f>HYPERLINK("https://cao.dolgi.msk.ru/account/1060630324/", 1060630324)</f>
        <v>1060630324</v>
      </c>
      <c r="E2151" s="3">
        <v>4643.34</v>
      </c>
    </row>
    <row r="2152" spans="1:5" x14ac:dyDescent="0.25">
      <c r="A2152" s="3" t="s">
        <v>5</v>
      </c>
      <c r="B2152" s="3" t="s">
        <v>658</v>
      </c>
      <c r="C2152" s="3" t="s">
        <v>30</v>
      </c>
      <c r="D2152" s="4">
        <f>HYPERLINK("https://cao.dolgi.msk.ru/account/1060076968/", 1060076968)</f>
        <v>1060076968</v>
      </c>
      <c r="E2152" s="3">
        <v>28423.11</v>
      </c>
    </row>
    <row r="2153" spans="1:5" x14ac:dyDescent="0.25">
      <c r="A2153" s="3" t="s">
        <v>5</v>
      </c>
      <c r="B2153" s="3" t="s">
        <v>658</v>
      </c>
      <c r="C2153" s="3" t="s">
        <v>105</v>
      </c>
      <c r="D2153" s="4">
        <f>HYPERLINK("https://cao.dolgi.msk.ru/account/1060616127/", 1060616127)</f>
        <v>1060616127</v>
      </c>
      <c r="E2153" s="3">
        <v>506501.14</v>
      </c>
    </row>
    <row r="2154" spans="1:5" x14ac:dyDescent="0.25">
      <c r="A2154" s="3" t="s">
        <v>5</v>
      </c>
      <c r="B2154" s="3" t="s">
        <v>658</v>
      </c>
      <c r="C2154" s="3" t="s">
        <v>133</v>
      </c>
      <c r="D2154" s="4">
        <f>HYPERLINK("https://cao.dolgi.msk.ru/account/1060616143/", 1060616143)</f>
        <v>1060616143</v>
      </c>
      <c r="E2154" s="3">
        <v>17140.45</v>
      </c>
    </row>
    <row r="2155" spans="1:5" x14ac:dyDescent="0.25">
      <c r="A2155" s="3" t="s">
        <v>5</v>
      </c>
      <c r="B2155" s="3" t="s">
        <v>658</v>
      </c>
      <c r="C2155" s="3" t="s">
        <v>137</v>
      </c>
      <c r="D2155" s="4">
        <f>HYPERLINK("https://cao.dolgi.msk.ru/account/1060616186/", 1060616186)</f>
        <v>1060616186</v>
      </c>
      <c r="E2155" s="3">
        <v>9034.9599999999991</v>
      </c>
    </row>
    <row r="2156" spans="1:5" x14ac:dyDescent="0.25">
      <c r="A2156" s="3" t="s">
        <v>5</v>
      </c>
      <c r="B2156" s="3" t="s">
        <v>658</v>
      </c>
      <c r="C2156" s="3" t="s">
        <v>17</v>
      </c>
      <c r="D2156" s="4">
        <f>HYPERLINK("https://cao.dolgi.msk.ru/account/1060616485/", 1060616485)</f>
        <v>1060616485</v>
      </c>
      <c r="E2156" s="3">
        <v>10249.61</v>
      </c>
    </row>
    <row r="2157" spans="1:5" x14ac:dyDescent="0.25">
      <c r="A2157" s="3" t="s">
        <v>5</v>
      </c>
      <c r="B2157" s="3" t="s">
        <v>659</v>
      </c>
      <c r="C2157" s="3" t="s">
        <v>72</v>
      </c>
      <c r="D2157" s="4">
        <f>HYPERLINK("https://cao.dolgi.msk.ru/account/1060617082/", 1060617082)</f>
        <v>1060617082</v>
      </c>
      <c r="E2157" s="3">
        <v>6710.6</v>
      </c>
    </row>
    <row r="2158" spans="1:5" x14ac:dyDescent="0.25">
      <c r="A2158" s="3" t="s">
        <v>5</v>
      </c>
      <c r="B2158" s="3" t="s">
        <v>659</v>
      </c>
      <c r="C2158" s="3" t="s">
        <v>76</v>
      </c>
      <c r="D2158" s="4">
        <f>HYPERLINK("https://cao.dolgi.msk.ru/account/1060886186/", 1060886186)</f>
        <v>1060886186</v>
      </c>
      <c r="E2158" s="3">
        <v>6097.41</v>
      </c>
    </row>
    <row r="2159" spans="1:5" x14ac:dyDescent="0.25">
      <c r="A2159" s="3" t="s">
        <v>5</v>
      </c>
      <c r="B2159" s="3" t="s">
        <v>659</v>
      </c>
      <c r="C2159" s="3" t="s">
        <v>80</v>
      </c>
      <c r="D2159" s="4">
        <f>HYPERLINK("https://cao.dolgi.msk.ru/account/1060617197/", 1060617197)</f>
        <v>1060617197</v>
      </c>
      <c r="E2159" s="3">
        <v>15715.65</v>
      </c>
    </row>
    <row r="2160" spans="1:5" x14ac:dyDescent="0.25">
      <c r="A2160" s="3" t="s">
        <v>5</v>
      </c>
      <c r="B2160" s="3" t="s">
        <v>660</v>
      </c>
      <c r="C2160" s="3" t="s">
        <v>30</v>
      </c>
      <c r="D2160" s="4">
        <f>HYPERLINK("https://cao.dolgi.msk.ru/account/1060376004/", 1060376004)</f>
        <v>1060376004</v>
      </c>
      <c r="E2160" s="3">
        <v>6033.86</v>
      </c>
    </row>
    <row r="2161" spans="1:5" x14ac:dyDescent="0.25">
      <c r="A2161" s="3" t="s">
        <v>5</v>
      </c>
      <c r="B2161" s="3" t="s">
        <v>660</v>
      </c>
      <c r="C2161" s="3" t="s">
        <v>131</v>
      </c>
      <c r="D2161" s="4">
        <f>HYPERLINK("https://cao.dolgi.msk.ru/account/1060376039/", 1060376039)</f>
        <v>1060376039</v>
      </c>
      <c r="E2161" s="3">
        <v>9363.43</v>
      </c>
    </row>
    <row r="2162" spans="1:5" x14ac:dyDescent="0.25">
      <c r="A2162" s="3" t="s">
        <v>5</v>
      </c>
      <c r="B2162" s="3" t="s">
        <v>660</v>
      </c>
      <c r="C2162" s="3" t="s">
        <v>9</v>
      </c>
      <c r="D2162" s="4">
        <f>HYPERLINK("https://cao.dolgi.msk.ru/account/1060376047/", 1060376047)</f>
        <v>1060376047</v>
      </c>
      <c r="E2162" s="3">
        <v>18624.71</v>
      </c>
    </row>
    <row r="2163" spans="1:5" x14ac:dyDescent="0.25">
      <c r="A2163" s="3" t="s">
        <v>5</v>
      </c>
      <c r="B2163" s="3" t="s">
        <v>660</v>
      </c>
      <c r="C2163" s="3" t="s">
        <v>133</v>
      </c>
      <c r="D2163" s="4">
        <f>HYPERLINK("https://cao.dolgi.msk.ru/account/1060376098/", 1060376098)</f>
        <v>1060376098</v>
      </c>
      <c r="E2163" s="3">
        <v>18490.96</v>
      </c>
    </row>
    <row r="2164" spans="1:5" x14ac:dyDescent="0.25">
      <c r="A2164" s="3" t="s">
        <v>5</v>
      </c>
      <c r="B2164" s="3" t="s">
        <v>660</v>
      </c>
      <c r="C2164" s="3" t="s">
        <v>136</v>
      </c>
      <c r="D2164" s="4">
        <f>HYPERLINK("https://cao.dolgi.msk.ru/account/1060376143/", 1060376143)</f>
        <v>1060376143</v>
      </c>
      <c r="E2164" s="3">
        <v>29797.93</v>
      </c>
    </row>
    <row r="2165" spans="1:5" x14ac:dyDescent="0.25">
      <c r="A2165" s="3" t="s">
        <v>5</v>
      </c>
      <c r="B2165" s="3" t="s">
        <v>660</v>
      </c>
      <c r="C2165" s="3" t="s">
        <v>18</v>
      </c>
      <c r="D2165" s="4">
        <f>HYPERLINK("https://cao.dolgi.msk.ru/account/1060376469/", 1060376469)</f>
        <v>1060376469</v>
      </c>
      <c r="E2165" s="3">
        <v>24566.25</v>
      </c>
    </row>
    <row r="2166" spans="1:5" x14ac:dyDescent="0.25">
      <c r="A2166" s="3" t="s">
        <v>5</v>
      </c>
      <c r="B2166" s="3" t="s">
        <v>660</v>
      </c>
      <c r="C2166" s="3" t="s">
        <v>21</v>
      </c>
      <c r="D2166" s="4">
        <f>HYPERLINK("https://cao.dolgi.msk.ru/account/1060376506/", 1060376506)</f>
        <v>1060376506</v>
      </c>
      <c r="E2166" s="3">
        <v>14024.89</v>
      </c>
    </row>
    <row r="2167" spans="1:5" x14ac:dyDescent="0.25">
      <c r="A2167" s="3" t="s">
        <v>5</v>
      </c>
      <c r="B2167" s="3" t="s">
        <v>660</v>
      </c>
      <c r="C2167" s="3" t="s">
        <v>23</v>
      </c>
      <c r="D2167" s="4">
        <f>HYPERLINK("https://cao.dolgi.msk.ru/account/1060376522/", 1060376522)</f>
        <v>1060376522</v>
      </c>
      <c r="E2167" s="3">
        <v>253850.82</v>
      </c>
    </row>
    <row r="2168" spans="1:5" x14ac:dyDescent="0.25">
      <c r="A2168" s="3" t="s">
        <v>5</v>
      </c>
      <c r="B2168" s="3" t="s">
        <v>660</v>
      </c>
      <c r="C2168" s="3" t="s">
        <v>25</v>
      </c>
      <c r="D2168" s="4">
        <f>HYPERLINK("https://cao.dolgi.msk.ru/account/1060376573/", 1060376573)</f>
        <v>1060376573</v>
      </c>
      <c r="E2168" s="3">
        <v>26124.67</v>
      </c>
    </row>
    <row r="2169" spans="1:5" x14ac:dyDescent="0.25">
      <c r="A2169" s="3" t="s">
        <v>5</v>
      </c>
      <c r="B2169" s="3" t="s">
        <v>661</v>
      </c>
      <c r="C2169" s="3" t="s">
        <v>137</v>
      </c>
      <c r="D2169" s="4">
        <f>HYPERLINK("https://cao.dolgi.msk.ru/account/1069141244/", 1069141244)</f>
        <v>1069141244</v>
      </c>
      <c r="E2169" s="3">
        <v>6861.49</v>
      </c>
    </row>
    <row r="2170" spans="1:5" x14ac:dyDescent="0.25">
      <c r="A2170" s="3" t="s">
        <v>5</v>
      </c>
      <c r="B2170" s="3" t="s">
        <v>661</v>
      </c>
      <c r="C2170" s="3" t="s">
        <v>28</v>
      </c>
      <c r="D2170" s="4">
        <f>HYPERLINK("https://cao.dolgi.msk.ru/account/1069120742/", 1069120742)</f>
        <v>1069120742</v>
      </c>
      <c r="E2170" s="3">
        <v>8031.42</v>
      </c>
    </row>
    <row r="2171" spans="1:5" x14ac:dyDescent="0.25">
      <c r="A2171" s="3" t="s">
        <v>5</v>
      </c>
      <c r="B2171" s="3" t="s">
        <v>661</v>
      </c>
      <c r="C2171" s="3" t="s">
        <v>52</v>
      </c>
      <c r="D2171" s="4">
        <f>HYPERLINK("https://cao.dolgi.msk.ru/account/1069143223/", 1069143223)</f>
        <v>1069143223</v>
      </c>
      <c r="E2171" s="3">
        <v>19830.79</v>
      </c>
    </row>
    <row r="2172" spans="1:5" x14ac:dyDescent="0.25">
      <c r="A2172" s="3" t="s">
        <v>5</v>
      </c>
      <c r="B2172" s="3" t="s">
        <v>661</v>
      </c>
      <c r="C2172" s="3" t="s">
        <v>662</v>
      </c>
      <c r="D2172" s="4">
        <f>HYPERLINK("https://cao.dolgi.msk.ru/account/1069121542/", 1069121542)</f>
        <v>1069121542</v>
      </c>
      <c r="E2172" s="3">
        <v>32245.81</v>
      </c>
    </row>
    <row r="2173" spans="1:5" x14ac:dyDescent="0.25">
      <c r="A2173" s="3" t="s">
        <v>5</v>
      </c>
      <c r="B2173" s="3" t="s">
        <v>661</v>
      </c>
      <c r="C2173" s="3" t="s">
        <v>83</v>
      </c>
      <c r="D2173" s="4">
        <f>HYPERLINK("https://cao.dolgi.msk.ru/account/1069132276/", 1069132276)</f>
        <v>1069132276</v>
      </c>
      <c r="E2173" s="3">
        <v>611355.69999999995</v>
      </c>
    </row>
    <row r="2174" spans="1:5" x14ac:dyDescent="0.25">
      <c r="A2174" s="3" t="s">
        <v>5</v>
      </c>
      <c r="B2174" s="3" t="s">
        <v>661</v>
      </c>
      <c r="C2174" s="3" t="s">
        <v>84</v>
      </c>
      <c r="D2174" s="4">
        <f>HYPERLINK("https://cao.dolgi.msk.ru/account/1069134351/", 1069134351)</f>
        <v>1069134351</v>
      </c>
      <c r="E2174" s="3">
        <v>48630</v>
      </c>
    </row>
    <row r="2175" spans="1:5" x14ac:dyDescent="0.25">
      <c r="A2175" s="3" t="s">
        <v>5</v>
      </c>
      <c r="B2175" s="3" t="s">
        <v>661</v>
      </c>
      <c r="C2175" s="3" t="s">
        <v>86</v>
      </c>
      <c r="D2175" s="4">
        <f>HYPERLINK("https://cao.dolgi.msk.ru/account/1069121761/", 1069121761)</f>
        <v>1069121761</v>
      </c>
      <c r="E2175" s="3">
        <v>50201.9</v>
      </c>
    </row>
    <row r="2176" spans="1:5" x14ac:dyDescent="0.25">
      <c r="A2176" s="3" t="s">
        <v>5</v>
      </c>
      <c r="B2176" s="3" t="s">
        <v>661</v>
      </c>
      <c r="C2176" s="3" t="s">
        <v>147</v>
      </c>
      <c r="D2176" s="4">
        <f>HYPERLINK("https://cao.dolgi.msk.ru/account/1069128939/", 1069128939)</f>
        <v>1069128939</v>
      </c>
      <c r="E2176" s="3">
        <v>4083.41</v>
      </c>
    </row>
    <row r="2177" spans="1:5" x14ac:dyDescent="0.25">
      <c r="A2177" s="3" t="s">
        <v>5</v>
      </c>
      <c r="B2177" s="3" t="s">
        <v>661</v>
      </c>
      <c r="C2177" s="3" t="s">
        <v>163</v>
      </c>
      <c r="D2177" s="4">
        <f>HYPERLINK("https://cao.dolgi.msk.ru/account/1069125615/", 1069125615)</f>
        <v>1069125615</v>
      </c>
      <c r="E2177" s="3">
        <v>5605.82</v>
      </c>
    </row>
    <row r="2178" spans="1:5" x14ac:dyDescent="0.25">
      <c r="A2178" s="3" t="s">
        <v>5</v>
      </c>
      <c r="B2178" s="3" t="s">
        <v>661</v>
      </c>
      <c r="C2178" s="3" t="s">
        <v>172</v>
      </c>
      <c r="D2178" s="4">
        <f>HYPERLINK("https://cao.dolgi.msk.ru/account/1069121251/", 1069121251)</f>
        <v>1069121251</v>
      </c>
      <c r="E2178" s="3">
        <v>9894.92</v>
      </c>
    </row>
    <row r="2179" spans="1:5" x14ac:dyDescent="0.25">
      <c r="A2179" s="3" t="s">
        <v>5</v>
      </c>
      <c r="B2179" s="3" t="s">
        <v>661</v>
      </c>
      <c r="C2179" s="3" t="s">
        <v>186</v>
      </c>
      <c r="D2179" s="4">
        <f>HYPERLINK("https://cao.dolgi.msk.ru/account/1069135012/", 1069135012)</f>
        <v>1069135012</v>
      </c>
      <c r="E2179" s="3">
        <v>11408.19</v>
      </c>
    </row>
    <row r="2180" spans="1:5" x14ac:dyDescent="0.25">
      <c r="A2180" s="3" t="s">
        <v>5</v>
      </c>
      <c r="B2180" s="3" t="s">
        <v>661</v>
      </c>
      <c r="C2180" s="3" t="s">
        <v>212</v>
      </c>
      <c r="D2180" s="4">
        <f>HYPERLINK("https://cao.dolgi.msk.ru/account/1069122545/", 1069122545)</f>
        <v>1069122545</v>
      </c>
      <c r="E2180" s="3">
        <v>9643.2900000000009</v>
      </c>
    </row>
    <row r="2181" spans="1:5" x14ac:dyDescent="0.25">
      <c r="A2181" s="3" t="s">
        <v>5</v>
      </c>
      <c r="B2181" s="3" t="s">
        <v>661</v>
      </c>
      <c r="C2181" s="3" t="s">
        <v>231</v>
      </c>
      <c r="D2181" s="4">
        <f>HYPERLINK("https://cao.dolgi.msk.ru/account/1060882441/", 1060882441)</f>
        <v>1060882441</v>
      </c>
      <c r="E2181" s="3">
        <v>15104.91</v>
      </c>
    </row>
    <row r="2182" spans="1:5" x14ac:dyDescent="0.25">
      <c r="A2182" s="3" t="s">
        <v>5</v>
      </c>
      <c r="B2182" s="3" t="s">
        <v>663</v>
      </c>
      <c r="C2182" s="3" t="s">
        <v>131</v>
      </c>
      <c r="D2182" s="4">
        <f>HYPERLINK("https://cao.dolgi.msk.ru/account/1060376717/", 1060376717)</f>
        <v>1060376717</v>
      </c>
      <c r="E2182" s="3">
        <v>20368.900000000001</v>
      </c>
    </row>
    <row r="2183" spans="1:5" x14ac:dyDescent="0.25">
      <c r="A2183" s="3" t="s">
        <v>5</v>
      </c>
      <c r="B2183" s="3" t="s">
        <v>663</v>
      </c>
      <c r="C2183" s="3" t="s">
        <v>24</v>
      </c>
      <c r="D2183" s="4">
        <f>HYPERLINK("https://cao.dolgi.msk.ru/account/1060377058/", 1060377058)</f>
        <v>1060377058</v>
      </c>
      <c r="E2183" s="3">
        <v>17596.63</v>
      </c>
    </row>
    <row r="2184" spans="1:5" x14ac:dyDescent="0.25">
      <c r="A2184" s="3" t="s">
        <v>5</v>
      </c>
      <c r="B2184" s="3" t="s">
        <v>663</v>
      </c>
      <c r="C2184" s="3" t="s">
        <v>41</v>
      </c>
      <c r="D2184" s="4">
        <f>HYPERLINK("https://cao.dolgi.msk.ru/account/1060377269/", 1060377269)</f>
        <v>1060377269</v>
      </c>
      <c r="E2184" s="3">
        <v>17861.39</v>
      </c>
    </row>
    <row r="2185" spans="1:5" x14ac:dyDescent="0.25">
      <c r="A2185" s="3" t="s">
        <v>5</v>
      </c>
      <c r="B2185" s="3" t="s">
        <v>663</v>
      </c>
      <c r="C2185" s="3" t="s">
        <v>42</v>
      </c>
      <c r="D2185" s="4">
        <f>HYPERLINK("https://cao.dolgi.msk.ru/account/1060377277/", 1060377277)</f>
        <v>1060377277</v>
      </c>
      <c r="E2185" s="3">
        <v>21189.24</v>
      </c>
    </row>
    <row r="2186" spans="1:5" x14ac:dyDescent="0.25">
      <c r="A2186" s="3" t="s">
        <v>5</v>
      </c>
      <c r="B2186" s="3" t="s">
        <v>663</v>
      </c>
      <c r="C2186" s="3" t="s">
        <v>44</v>
      </c>
      <c r="D2186" s="4">
        <f>HYPERLINK("https://cao.dolgi.msk.ru/account/1060377293/", 1060377293)</f>
        <v>1060377293</v>
      </c>
      <c r="E2186" s="3">
        <v>27214.55</v>
      </c>
    </row>
    <row r="2187" spans="1:5" x14ac:dyDescent="0.25">
      <c r="A2187" s="3" t="s">
        <v>5</v>
      </c>
      <c r="B2187" s="3" t="s">
        <v>663</v>
      </c>
      <c r="C2187" s="3" t="s">
        <v>59</v>
      </c>
      <c r="D2187" s="4">
        <f>HYPERLINK("https://cao.dolgi.msk.ru/account/1060377453/", 1060377453)</f>
        <v>1060377453</v>
      </c>
      <c r="E2187" s="3">
        <v>136394.01</v>
      </c>
    </row>
    <row r="2188" spans="1:5" x14ac:dyDescent="0.25">
      <c r="A2188" s="3" t="s">
        <v>5</v>
      </c>
      <c r="B2188" s="3" t="s">
        <v>663</v>
      </c>
      <c r="C2188" s="3" t="s">
        <v>65</v>
      </c>
      <c r="D2188" s="4">
        <f>HYPERLINK("https://cao.dolgi.msk.ru/account/1060377525/", 1060377525)</f>
        <v>1060377525</v>
      </c>
      <c r="E2188" s="3">
        <v>5406.47</v>
      </c>
    </row>
    <row r="2189" spans="1:5" x14ac:dyDescent="0.25">
      <c r="A2189" s="3" t="s">
        <v>5</v>
      </c>
      <c r="B2189" s="3" t="s">
        <v>663</v>
      </c>
      <c r="C2189" s="3" t="s">
        <v>72</v>
      </c>
      <c r="D2189" s="4">
        <f>HYPERLINK("https://cao.dolgi.msk.ru/account/1060377541/", 1060377541)</f>
        <v>1060377541</v>
      </c>
      <c r="E2189" s="3">
        <v>2326.13</v>
      </c>
    </row>
    <row r="2190" spans="1:5" x14ac:dyDescent="0.25">
      <c r="A2190" s="3" t="s">
        <v>5</v>
      </c>
      <c r="B2190" s="3" t="s">
        <v>663</v>
      </c>
      <c r="C2190" s="3" t="s">
        <v>87</v>
      </c>
      <c r="D2190" s="4">
        <f>HYPERLINK("https://cao.dolgi.msk.ru/account/1060377736/", 1060377736)</f>
        <v>1060377736</v>
      </c>
      <c r="E2190" s="3">
        <v>15206.62</v>
      </c>
    </row>
    <row r="2191" spans="1:5" x14ac:dyDescent="0.25">
      <c r="A2191" s="3" t="s">
        <v>5</v>
      </c>
      <c r="B2191" s="3" t="s">
        <v>663</v>
      </c>
      <c r="C2191" s="3" t="s">
        <v>97</v>
      </c>
      <c r="D2191" s="4">
        <f>HYPERLINK("https://cao.dolgi.msk.ru/account/1060377824/", 1060377824)</f>
        <v>1060377824</v>
      </c>
      <c r="E2191" s="3">
        <v>4350.3999999999996</v>
      </c>
    </row>
    <row r="2192" spans="1:5" x14ac:dyDescent="0.25">
      <c r="A2192" s="3" t="s">
        <v>5</v>
      </c>
      <c r="B2192" s="3" t="s">
        <v>663</v>
      </c>
      <c r="C2192" s="3" t="s">
        <v>100</v>
      </c>
      <c r="D2192" s="4">
        <f>HYPERLINK("https://cao.dolgi.msk.ru/account/1060377867/", 1060377867)</f>
        <v>1060377867</v>
      </c>
      <c r="E2192" s="3">
        <v>6700.9</v>
      </c>
    </row>
    <row r="2193" spans="1:5" x14ac:dyDescent="0.25">
      <c r="A2193" s="3" t="s">
        <v>5</v>
      </c>
      <c r="B2193" s="3" t="s">
        <v>663</v>
      </c>
      <c r="C2193" s="3" t="s">
        <v>101</v>
      </c>
      <c r="D2193" s="4">
        <f>HYPERLINK("https://cao.dolgi.msk.ru/account/1060377875/", 1060377875)</f>
        <v>1060377875</v>
      </c>
      <c r="E2193" s="3">
        <v>40471.160000000003</v>
      </c>
    </row>
    <row r="2194" spans="1:5" x14ac:dyDescent="0.25">
      <c r="A2194" s="3" t="s">
        <v>5</v>
      </c>
      <c r="B2194" s="3" t="s">
        <v>663</v>
      </c>
      <c r="C2194" s="3" t="s">
        <v>145</v>
      </c>
      <c r="D2194" s="4">
        <f>HYPERLINK("https://cao.dolgi.msk.ru/account/1060377904/", 1060377904)</f>
        <v>1060377904</v>
      </c>
      <c r="E2194" s="3">
        <v>71697.94</v>
      </c>
    </row>
    <row r="2195" spans="1:5" x14ac:dyDescent="0.25">
      <c r="A2195" s="3" t="s">
        <v>5</v>
      </c>
      <c r="B2195" s="3" t="s">
        <v>663</v>
      </c>
      <c r="C2195" s="3" t="s">
        <v>147</v>
      </c>
      <c r="D2195" s="4">
        <f>HYPERLINK("https://cao.dolgi.msk.ru/account/1060377939/", 1060377939)</f>
        <v>1060377939</v>
      </c>
      <c r="E2195" s="3">
        <v>4840.66</v>
      </c>
    </row>
    <row r="2196" spans="1:5" x14ac:dyDescent="0.25">
      <c r="A2196" s="3" t="s">
        <v>5</v>
      </c>
      <c r="B2196" s="3" t="s">
        <v>663</v>
      </c>
      <c r="C2196" s="3" t="s">
        <v>108</v>
      </c>
      <c r="D2196" s="4">
        <f>HYPERLINK("https://cao.dolgi.msk.ru/account/1060377998/", 1060377998)</f>
        <v>1060377998</v>
      </c>
      <c r="E2196" s="3">
        <v>13533.74</v>
      </c>
    </row>
    <row r="2197" spans="1:5" x14ac:dyDescent="0.25">
      <c r="A2197" s="3" t="s">
        <v>5</v>
      </c>
      <c r="B2197" s="3" t="s">
        <v>663</v>
      </c>
      <c r="C2197" s="3" t="s">
        <v>110</v>
      </c>
      <c r="D2197" s="4">
        <f>HYPERLINK("https://cao.dolgi.msk.ru/account/1060378026/", 1060378026)</f>
        <v>1060378026</v>
      </c>
      <c r="E2197" s="3">
        <v>24634.93</v>
      </c>
    </row>
    <row r="2198" spans="1:5" x14ac:dyDescent="0.25">
      <c r="A2198" s="3" t="s">
        <v>5</v>
      </c>
      <c r="B2198" s="3" t="s">
        <v>663</v>
      </c>
      <c r="C2198" s="3" t="s">
        <v>151</v>
      </c>
      <c r="D2198" s="4">
        <f>HYPERLINK("https://cao.dolgi.msk.ru/account/1060378093/", 1060378093)</f>
        <v>1060378093</v>
      </c>
      <c r="E2198" s="3">
        <v>13863.84</v>
      </c>
    </row>
    <row r="2199" spans="1:5" x14ac:dyDescent="0.25">
      <c r="A2199" s="3" t="s">
        <v>5</v>
      </c>
      <c r="B2199" s="3" t="s">
        <v>663</v>
      </c>
      <c r="C2199" s="3" t="s">
        <v>163</v>
      </c>
      <c r="D2199" s="4">
        <f>HYPERLINK("https://cao.dolgi.msk.ru/account/1060378245/", 1060378245)</f>
        <v>1060378245</v>
      </c>
      <c r="E2199" s="3">
        <v>15480.72</v>
      </c>
    </row>
    <row r="2200" spans="1:5" x14ac:dyDescent="0.25">
      <c r="A2200" s="3" t="s">
        <v>5</v>
      </c>
      <c r="B2200" s="3" t="s">
        <v>663</v>
      </c>
      <c r="C2200" s="3" t="s">
        <v>165</v>
      </c>
      <c r="D2200" s="4">
        <f>HYPERLINK("https://cao.dolgi.msk.ru/account/1060378261/", 1060378261)</f>
        <v>1060378261</v>
      </c>
      <c r="E2200" s="3">
        <v>17682.87</v>
      </c>
    </row>
    <row r="2201" spans="1:5" x14ac:dyDescent="0.25">
      <c r="A2201" s="3" t="s">
        <v>5</v>
      </c>
      <c r="B2201" s="3" t="s">
        <v>663</v>
      </c>
      <c r="C2201" s="3" t="s">
        <v>176</v>
      </c>
      <c r="D2201" s="4">
        <f>HYPERLINK("https://cao.dolgi.msk.ru/account/1060378392/", 1060378392)</f>
        <v>1060378392</v>
      </c>
      <c r="E2201" s="3">
        <v>12549.62</v>
      </c>
    </row>
    <row r="2202" spans="1:5" x14ac:dyDescent="0.25">
      <c r="A2202" s="3" t="s">
        <v>5</v>
      </c>
      <c r="B2202" s="3" t="s">
        <v>664</v>
      </c>
      <c r="C2202" s="3" t="s">
        <v>10</v>
      </c>
      <c r="D2202" s="4">
        <f>HYPERLINK("https://cao.dolgi.msk.ru/account/1069122166/", 1069122166)</f>
        <v>1069122166</v>
      </c>
      <c r="E2202" s="3">
        <v>4817.2</v>
      </c>
    </row>
    <row r="2203" spans="1:5" x14ac:dyDescent="0.25">
      <c r="A2203" s="3" t="s">
        <v>5</v>
      </c>
      <c r="B2203" s="3" t="s">
        <v>664</v>
      </c>
      <c r="C2203" s="3" t="s">
        <v>22</v>
      </c>
      <c r="D2203" s="4">
        <f>HYPERLINK("https://cao.dolgi.msk.ru/account/1069122203/", 1069122203)</f>
        <v>1069122203</v>
      </c>
      <c r="E2203" s="3">
        <v>4966.24</v>
      </c>
    </row>
    <row r="2204" spans="1:5" x14ac:dyDescent="0.25">
      <c r="A2204" s="3" t="s">
        <v>5</v>
      </c>
      <c r="B2204" s="3" t="s">
        <v>664</v>
      </c>
      <c r="C2204" s="3" t="s">
        <v>63</v>
      </c>
      <c r="D2204" s="4">
        <f>HYPERLINK("https://cao.dolgi.msk.ru/account/1069122035/", 1069122035)</f>
        <v>1069122035</v>
      </c>
      <c r="E2204" s="3">
        <v>20639.13</v>
      </c>
    </row>
    <row r="2205" spans="1:5" x14ac:dyDescent="0.25">
      <c r="A2205" s="3" t="s">
        <v>5</v>
      </c>
      <c r="B2205" s="3" t="s">
        <v>664</v>
      </c>
      <c r="C2205" s="3" t="s">
        <v>86</v>
      </c>
      <c r="D2205" s="4">
        <f>HYPERLINK("https://cao.dolgi.msk.ru/account/1069126167/", 1069126167)</f>
        <v>1069126167</v>
      </c>
      <c r="E2205" s="3">
        <v>8433.0499999999993</v>
      </c>
    </row>
    <row r="2206" spans="1:5" x14ac:dyDescent="0.25">
      <c r="A2206" s="3" t="s">
        <v>5</v>
      </c>
      <c r="B2206" s="3" t="s">
        <v>664</v>
      </c>
      <c r="C2206" s="3" t="s">
        <v>96</v>
      </c>
      <c r="D2206" s="4">
        <f>HYPERLINK("https://cao.dolgi.msk.ru/account/1069122115/", 1069122115)</f>
        <v>1069122115</v>
      </c>
      <c r="E2206" s="3">
        <v>11405.16</v>
      </c>
    </row>
    <row r="2207" spans="1:5" x14ac:dyDescent="0.25">
      <c r="A2207" s="3" t="s">
        <v>5</v>
      </c>
      <c r="B2207" s="3" t="s">
        <v>664</v>
      </c>
      <c r="C2207" s="3" t="s">
        <v>102</v>
      </c>
      <c r="D2207" s="4">
        <f>HYPERLINK("https://cao.dolgi.msk.ru/account/1069119661/", 1069119661)</f>
        <v>1069119661</v>
      </c>
      <c r="E2207" s="3">
        <v>6379.89</v>
      </c>
    </row>
    <row r="2208" spans="1:5" x14ac:dyDescent="0.25">
      <c r="A2208" s="3" t="s">
        <v>5</v>
      </c>
      <c r="B2208" s="3" t="s">
        <v>664</v>
      </c>
      <c r="C2208" s="3" t="s">
        <v>103</v>
      </c>
      <c r="D2208" s="4">
        <f>HYPERLINK("https://cao.dolgi.msk.ru/account/1069143995/", 1069143995)</f>
        <v>1069143995</v>
      </c>
      <c r="E2208" s="3">
        <v>5203.92</v>
      </c>
    </row>
    <row r="2209" spans="1:5" x14ac:dyDescent="0.25">
      <c r="A2209" s="3" t="s">
        <v>5</v>
      </c>
      <c r="B2209" s="3" t="s">
        <v>664</v>
      </c>
      <c r="C2209" s="3" t="s">
        <v>147</v>
      </c>
      <c r="D2209" s="4">
        <f>HYPERLINK("https://cao.dolgi.msk.ru/account/1069135039/", 1069135039)</f>
        <v>1069135039</v>
      </c>
      <c r="E2209" s="3">
        <v>6497.25</v>
      </c>
    </row>
    <row r="2210" spans="1:5" x14ac:dyDescent="0.25">
      <c r="A2210" s="3" t="s">
        <v>5</v>
      </c>
      <c r="B2210" s="3" t="s">
        <v>664</v>
      </c>
      <c r="C2210" s="3" t="s">
        <v>116</v>
      </c>
      <c r="D2210" s="4">
        <f>HYPERLINK("https://cao.dolgi.msk.ru/account/1069120398/", 1069120398)</f>
        <v>1069120398</v>
      </c>
      <c r="E2210" s="3">
        <v>24372.720000000001</v>
      </c>
    </row>
    <row r="2211" spans="1:5" x14ac:dyDescent="0.25">
      <c r="A2211" s="3" t="s">
        <v>5</v>
      </c>
      <c r="B2211" s="3" t="s">
        <v>664</v>
      </c>
      <c r="C2211" s="3" t="s">
        <v>165</v>
      </c>
      <c r="D2211" s="4">
        <f>HYPERLINK("https://cao.dolgi.msk.ru/account/1069124102/", 1069124102)</f>
        <v>1069124102</v>
      </c>
      <c r="E2211" s="3">
        <v>21963.61</v>
      </c>
    </row>
    <row r="2212" spans="1:5" x14ac:dyDescent="0.25">
      <c r="A2212" s="3" t="s">
        <v>5</v>
      </c>
      <c r="B2212" s="3" t="s">
        <v>664</v>
      </c>
      <c r="C2212" s="3" t="s">
        <v>167</v>
      </c>
      <c r="D2212" s="4">
        <f>HYPERLINK("https://cao.dolgi.msk.ru/account/1069123708/", 1069123708)</f>
        <v>1069123708</v>
      </c>
      <c r="E2212" s="3">
        <v>128940.99</v>
      </c>
    </row>
    <row r="2213" spans="1:5" x14ac:dyDescent="0.25">
      <c r="A2213" s="3" t="s">
        <v>5</v>
      </c>
      <c r="B2213" s="3" t="s">
        <v>664</v>
      </c>
      <c r="C2213" s="3" t="s">
        <v>231</v>
      </c>
      <c r="D2213" s="4">
        <f>HYPERLINK("https://cao.dolgi.msk.ru/account/1060818714/", 1060818714)</f>
        <v>1060818714</v>
      </c>
      <c r="E2213" s="3">
        <v>1823.7</v>
      </c>
    </row>
    <row r="2214" spans="1:5" x14ac:dyDescent="0.25">
      <c r="A2214" s="3" t="s">
        <v>5</v>
      </c>
      <c r="B2214" s="3" t="s">
        <v>664</v>
      </c>
      <c r="C2214" s="3" t="s">
        <v>243</v>
      </c>
      <c r="D2214" s="4">
        <f>HYPERLINK("https://cao.dolgi.msk.ru/account/1069120216/", 1069120216)</f>
        <v>1069120216</v>
      </c>
      <c r="E2214" s="3">
        <v>7352.84</v>
      </c>
    </row>
    <row r="2215" spans="1:5" x14ac:dyDescent="0.25">
      <c r="A2215" s="3" t="s">
        <v>5</v>
      </c>
      <c r="B2215" s="3" t="s">
        <v>665</v>
      </c>
      <c r="C2215" s="3" t="s">
        <v>42</v>
      </c>
      <c r="D2215" s="4">
        <f>HYPERLINK("https://cao.dolgi.msk.ru/account/1069111352/", 1069111352)</f>
        <v>1069111352</v>
      </c>
      <c r="E2215" s="3">
        <v>11828.59</v>
      </c>
    </row>
    <row r="2216" spans="1:5" x14ac:dyDescent="0.25">
      <c r="A2216" s="3" t="s">
        <v>5</v>
      </c>
      <c r="B2216" s="3" t="s">
        <v>665</v>
      </c>
      <c r="C2216" s="3" t="s">
        <v>73</v>
      </c>
      <c r="D2216" s="4">
        <f>HYPERLINK("https://cao.dolgi.msk.ru/account/1069116866/", 1069116866)</f>
        <v>1069116866</v>
      </c>
      <c r="E2216" s="3">
        <v>257735.13</v>
      </c>
    </row>
    <row r="2217" spans="1:5" x14ac:dyDescent="0.25">
      <c r="A2217" s="3" t="s">
        <v>5</v>
      </c>
      <c r="B2217" s="3" t="s">
        <v>665</v>
      </c>
      <c r="C2217" s="3" t="s">
        <v>84</v>
      </c>
      <c r="D2217" s="4">
        <f>HYPERLINK("https://cao.dolgi.msk.ru/account/1060817359/", 1060817359)</f>
        <v>1060817359</v>
      </c>
      <c r="E2217" s="3">
        <v>19773.23</v>
      </c>
    </row>
    <row r="2218" spans="1:5" x14ac:dyDescent="0.25">
      <c r="A2218" s="3" t="s">
        <v>5</v>
      </c>
      <c r="B2218" s="3" t="s">
        <v>665</v>
      </c>
      <c r="C2218" s="3" t="s">
        <v>85</v>
      </c>
      <c r="D2218" s="4">
        <f>HYPERLINK("https://cao.dolgi.msk.ru/account/1060817367/", 1060817367)</f>
        <v>1060817367</v>
      </c>
      <c r="E2218" s="3">
        <v>13885.92</v>
      </c>
    </row>
    <row r="2219" spans="1:5" x14ac:dyDescent="0.25">
      <c r="A2219" s="3" t="s">
        <v>5</v>
      </c>
      <c r="B2219" s="3" t="s">
        <v>665</v>
      </c>
      <c r="C2219" s="3" t="s">
        <v>97</v>
      </c>
      <c r="D2219" s="4">
        <f>HYPERLINK("https://cao.dolgi.msk.ru/account/1069118407/", 1069118407)</f>
        <v>1069118407</v>
      </c>
      <c r="E2219" s="3">
        <v>30123.27</v>
      </c>
    </row>
    <row r="2220" spans="1:5" x14ac:dyDescent="0.25">
      <c r="A2220" s="3" t="s">
        <v>5</v>
      </c>
      <c r="B2220" s="3" t="s">
        <v>665</v>
      </c>
      <c r="C2220" s="3" t="s">
        <v>155</v>
      </c>
      <c r="D2220" s="4">
        <f>HYPERLINK("https://cao.dolgi.msk.ru/account/1060884631/", 1060884631)</f>
        <v>1060884631</v>
      </c>
      <c r="E2220" s="3">
        <v>5048.66</v>
      </c>
    </row>
    <row r="2221" spans="1:5" x14ac:dyDescent="0.25">
      <c r="A2221" s="3" t="s">
        <v>5</v>
      </c>
      <c r="B2221" s="3" t="s">
        <v>665</v>
      </c>
      <c r="C2221" s="3" t="s">
        <v>155</v>
      </c>
      <c r="D2221" s="4">
        <f>HYPERLINK("https://cao.dolgi.msk.ru/account/1069111459/", 1069111459)</f>
        <v>1069111459</v>
      </c>
      <c r="E2221" s="3">
        <v>2851.57</v>
      </c>
    </row>
    <row r="2222" spans="1:5" x14ac:dyDescent="0.25">
      <c r="A2222" s="3" t="s">
        <v>5</v>
      </c>
      <c r="B2222" s="3" t="s">
        <v>665</v>
      </c>
      <c r="C2222" s="3" t="s">
        <v>163</v>
      </c>
      <c r="D2222" s="4">
        <f>HYPERLINK("https://cao.dolgi.msk.ru/account/1069111176/", 1069111176)</f>
        <v>1069111176</v>
      </c>
      <c r="E2222" s="3">
        <v>45904.91</v>
      </c>
    </row>
    <row r="2223" spans="1:5" x14ac:dyDescent="0.25">
      <c r="A2223" s="3" t="s">
        <v>5</v>
      </c>
      <c r="B2223" s="3" t="s">
        <v>665</v>
      </c>
      <c r="C2223" s="3" t="s">
        <v>171</v>
      </c>
      <c r="D2223" s="4">
        <f>HYPERLINK("https://cao.dolgi.msk.ru/account/1069117391/", 1069117391)</f>
        <v>1069117391</v>
      </c>
      <c r="E2223" s="3">
        <v>17771.169999999998</v>
      </c>
    </row>
    <row r="2224" spans="1:5" x14ac:dyDescent="0.25">
      <c r="A2224" s="3" t="s">
        <v>5</v>
      </c>
      <c r="B2224" s="3" t="s">
        <v>665</v>
      </c>
      <c r="C2224" s="3" t="s">
        <v>186</v>
      </c>
      <c r="D2224" s="4">
        <f>HYPERLINK("https://cao.dolgi.msk.ru/account/1069118132/", 1069118132)</f>
        <v>1069118132</v>
      </c>
      <c r="E2224" s="3">
        <v>12767.8</v>
      </c>
    </row>
    <row r="2225" spans="1:5" x14ac:dyDescent="0.25">
      <c r="A2225" s="3" t="s">
        <v>5</v>
      </c>
      <c r="B2225" s="3" t="s">
        <v>665</v>
      </c>
      <c r="C2225" s="3" t="s">
        <v>202</v>
      </c>
      <c r="D2225" s="4">
        <f>HYPERLINK("https://cao.dolgi.msk.ru/account/1069113016/", 1069113016)</f>
        <v>1069113016</v>
      </c>
      <c r="E2225" s="3">
        <v>9181.14</v>
      </c>
    </row>
    <row r="2226" spans="1:5" x14ac:dyDescent="0.25">
      <c r="A2226" s="3" t="s">
        <v>5</v>
      </c>
      <c r="B2226" s="3" t="s">
        <v>665</v>
      </c>
      <c r="C2226" s="3" t="s">
        <v>233</v>
      </c>
      <c r="D2226" s="4">
        <f>HYPERLINK("https://cao.dolgi.msk.ru/account/1069140081/", 1069140081)</f>
        <v>1069140081</v>
      </c>
      <c r="E2226" s="3">
        <v>8248.25</v>
      </c>
    </row>
    <row r="2227" spans="1:5" x14ac:dyDescent="0.25">
      <c r="A2227" s="3" t="s">
        <v>5</v>
      </c>
      <c r="B2227" s="3" t="s">
        <v>665</v>
      </c>
      <c r="C2227" s="3" t="s">
        <v>289</v>
      </c>
      <c r="D2227" s="4">
        <f>HYPERLINK("https://cao.dolgi.msk.ru/account/1069139929/", 1069139929)</f>
        <v>1069139929</v>
      </c>
      <c r="E2227" s="3">
        <v>22076.7</v>
      </c>
    </row>
    <row r="2228" spans="1:5" x14ac:dyDescent="0.25">
      <c r="A2228" s="3" t="s">
        <v>5</v>
      </c>
      <c r="B2228" s="3" t="s">
        <v>665</v>
      </c>
      <c r="C2228" s="3" t="s">
        <v>292</v>
      </c>
      <c r="D2228" s="4">
        <f>HYPERLINK("https://cao.dolgi.msk.ru/account/1069115812/", 1069115812)</f>
        <v>1069115812</v>
      </c>
      <c r="E2228" s="3">
        <v>24497.38</v>
      </c>
    </row>
    <row r="2229" spans="1:5" x14ac:dyDescent="0.25">
      <c r="A2229" s="3" t="s">
        <v>5</v>
      </c>
      <c r="B2229" s="3" t="s">
        <v>665</v>
      </c>
      <c r="C2229" s="3" t="s">
        <v>299</v>
      </c>
      <c r="D2229" s="4">
        <f>HYPERLINK("https://cao.dolgi.msk.ru/account/1069112945/", 1069112945)</f>
        <v>1069112945</v>
      </c>
      <c r="E2229" s="3">
        <v>8402.2099999999991</v>
      </c>
    </row>
    <row r="2230" spans="1:5" x14ac:dyDescent="0.25">
      <c r="A2230" s="3" t="s">
        <v>5</v>
      </c>
      <c r="B2230" s="3" t="s">
        <v>665</v>
      </c>
      <c r="C2230" s="3" t="s">
        <v>303</v>
      </c>
      <c r="D2230" s="4">
        <f>HYPERLINK("https://cao.dolgi.msk.ru/account/1060821702/", 1060821702)</f>
        <v>1060821702</v>
      </c>
      <c r="E2230" s="3">
        <v>104526.68</v>
      </c>
    </row>
    <row r="2231" spans="1:5" x14ac:dyDescent="0.25">
      <c r="A2231" s="3" t="s">
        <v>5</v>
      </c>
      <c r="B2231" s="3" t="s">
        <v>665</v>
      </c>
      <c r="C2231" s="3" t="s">
        <v>307</v>
      </c>
      <c r="D2231" s="4">
        <f>HYPERLINK("https://cao.dolgi.msk.ru/account/1069119207/", 1069119207)</f>
        <v>1069119207</v>
      </c>
      <c r="E2231" s="3">
        <v>18892.77</v>
      </c>
    </row>
    <row r="2232" spans="1:5" x14ac:dyDescent="0.25">
      <c r="A2232" s="3" t="s">
        <v>5</v>
      </c>
      <c r="B2232" s="3" t="s">
        <v>665</v>
      </c>
      <c r="C2232" s="3" t="s">
        <v>313</v>
      </c>
      <c r="D2232" s="4">
        <f>HYPERLINK("https://cao.dolgi.msk.ru/account/1069115337/", 1069115337)</f>
        <v>1069115337</v>
      </c>
      <c r="E2232" s="3">
        <v>39134.76</v>
      </c>
    </row>
    <row r="2233" spans="1:5" x14ac:dyDescent="0.25">
      <c r="A2233" s="3" t="s">
        <v>5</v>
      </c>
      <c r="B2233" s="3" t="s">
        <v>665</v>
      </c>
      <c r="C2233" s="3" t="s">
        <v>315</v>
      </c>
      <c r="D2233" s="4">
        <f>HYPERLINK("https://cao.dolgi.msk.ru/account/1069113999/", 1069113999)</f>
        <v>1069113999</v>
      </c>
      <c r="E2233" s="3">
        <v>79336.820000000007</v>
      </c>
    </row>
    <row r="2234" spans="1:5" x14ac:dyDescent="0.25">
      <c r="A2234" s="3" t="s">
        <v>5</v>
      </c>
      <c r="B2234" s="3" t="s">
        <v>665</v>
      </c>
      <c r="C2234" s="3" t="s">
        <v>318</v>
      </c>
      <c r="D2234" s="4">
        <f>HYPERLINK("https://cao.dolgi.msk.ru/account/1069133842/", 1069133842)</f>
        <v>1069133842</v>
      </c>
      <c r="E2234" s="3">
        <v>9334.61</v>
      </c>
    </row>
    <row r="2235" spans="1:5" x14ac:dyDescent="0.25">
      <c r="A2235" s="3" t="s">
        <v>5</v>
      </c>
      <c r="B2235" s="3" t="s">
        <v>665</v>
      </c>
      <c r="C2235" s="3" t="s">
        <v>344</v>
      </c>
      <c r="D2235" s="4">
        <f>HYPERLINK("https://cao.dolgi.msk.ru/account/1069117439/", 1069117439)</f>
        <v>1069117439</v>
      </c>
      <c r="E2235" s="3">
        <v>19967.86</v>
      </c>
    </row>
    <row r="2236" spans="1:5" x14ac:dyDescent="0.25">
      <c r="A2236" s="3" t="s">
        <v>5</v>
      </c>
      <c r="B2236" s="3" t="s">
        <v>665</v>
      </c>
      <c r="C2236" s="3" t="s">
        <v>346</v>
      </c>
      <c r="D2236" s="4">
        <f>HYPERLINK("https://cao.dolgi.msk.ru/account/1069136904/", 1069136904)</f>
        <v>1069136904</v>
      </c>
      <c r="E2236" s="3">
        <v>2880.53</v>
      </c>
    </row>
    <row r="2237" spans="1:5" x14ac:dyDescent="0.25">
      <c r="A2237" s="3" t="s">
        <v>5</v>
      </c>
      <c r="B2237" s="3" t="s">
        <v>666</v>
      </c>
      <c r="C2237" s="3" t="s">
        <v>9</v>
      </c>
      <c r="D2237" s="4">
        <f>HYPERLINK("https://cao.dolgi.msk.ru/account/1060816997/", 1060816997)</f>
        <v>1060816997</v>
      </c>
      <c r="E2237" s="3">
        <v>7317.17</v>
      </c>
    </row>
    <row r="2238" spans="1:5" x14ac:dyDescent="0.25">
      <c r="A2238" s="3" t="s">
        <v>5</v>
      </c>
      <c r="B2238" s="3" t="s">
        <v>666</v>
      </c>
      <c r="C2238" s="3" t="s">
        <v>138</v>
      </c>
      <c r="D2238" s="4">
        <f>HYPERLINK("https://cao.dolgi.msk.ru/account/1069110851/", 1069110851)</f>
        <v>1069110851</v>
      </c>
      <c r="E2238" s="3">
        <v>6553.73</v>
      </c>
    </row>
    <row r="2239" spans="1:5" x14ac:dyDescent="0.25">
      <c r="A2239" s="3" t="s">
        <v>5</v>
      </c>
      <c r="B2239" s="3" t="s">
        <v>666</v>
      </c>
      <c r="C2239" s="3" t="s">
        <v>31</v>
      </c>
      <c r="D2239" s="4">
        <f>HYPERLINK("https://cao.dolgi.msk.ru/account/1069124719/", 1069124719)</f>
        <v>1069124719</v>
      </c>
      <c r="E2239" s="3">
        <v>15711.47</v>
      </c>
    </row>
    <row r="2240" spans="1:5" x14ac:dyDescent="0.25">
      <c r="A2240" s="3" t="s">
        <v>5</v>
      </c>
      <c r="B2240" s="3" t="s">
        <v>666</v>
      </c>
      <c r="C2240" s="3" t="s">
        <v>61</v>
      </c>
      <c r="D2240" s="4">
        <f>HYPERLINK("https://cao.dolgi.msk.ru/account/1069113235/", 1069113235)</f>
        <v>1069113235</v>
      </c>
      <c r="E2240" s="3">
        <v>5786.81</v>
      </c>
    </row>
    <row r="2241" spans="1:5" x14ac:dyDescent="0.25">
      <c r="A2241" s="3" t="s">
        <v>5</v>
      </c>
      <c r="B2241" s="3" t="s">
        <v>666</v>
      </c>
      <c r="C2241" s="3" t="s">
        <v>87</v>
      </c>
      <c r="D2241" s="4">
        <f>HYPERLINK("https://cao.dolgi.msk.ru/account/1069112988/", 1069112988)</f>
        <v>1069112988</v>
      </c>
      <c r="E2241" s="3">
        <v>6863.95</v>
      </c>
    </row>
    <row r="2242" spans="1:5" x14ac:dyDescent="0.25">
      <c r="A2242" s="3" t="s">
        <v>5</v>
      </c>
      <c r="B2242" s="3" t="s">
        <v>666</v>
      </c>
      <c r="C2242" s="3" t="s">
        <v>103</v>
      </c>
      <c r="D2242" s="4">
        <f>HYPERLINK("https://cao.dolgi.msk.ru/account/1069112136/", 1069112136)</f>
        <v>1069112136</v>
      </c>
      <c r="E2242" s="3">
        <v>14231.05</v>
      </c>
    </row>
    <row r="2243" spans="1:5" x14ac:dyDescent="0.25">
      <c r="A2243" s="3" t="s">
        <v>5</v>
      </c>
      <c r="B2243" s="3" t="s">
        <v>666</v>
      </c>
      <c r="C2243" s="3" t="s">
        <v>160</v>
      </c>
      <c r="D2243" s="4">
        <f>HYPERLINK("https://cao.dolgi.msk.ru/account/1069114529/", 1069114529)</f>
        <v>1069114529</v>
      </c>
      <c r="E2243" s="3">
        <v>25761.29</v>
      </c>
    </row>
    <row r="2244" spans="1:5" x14ac:dyDescent="0.25">
      <c r="A2244" s="3" t="s">
        <v>5</v>
      </c>
      <c r="B2244" s="3" t="s">
        <v>666</v>
      </c>
      <c r="C2244" s="3" t="s">
        <v>217</v>
      </c>
      <c r="D2244" s="4">
        <f>HYPERLINK("https://cao.dolgi.msk.ru/account/1069115775/", 1069115775)</f>
        <v>1069115775</v>
      </c>
      <c r="E2244" s="3">
        <v>24946.22</v>
      </c>
    </row>
    <row r="2245" spans="1:5" x14ac:dyDescent="0.25">
      <c r="A2245" s="3" t="s">
        <v>5</v>
      </c>
      <c r="B2245" s="3" t="s">
        <v>666</v>
      </c>
      <c r="C2245" s="3" t="s">
        <v>244</v>
      </c>
      <c r="D2245" s="4">
        <f>HYPERLINK("https://cao.dolgi.msk.ru/account/1060881692/", 1060881692)</f>
        <v>1060881692</v>
      </c>
      <c r="E2245" s="3">
        <v>17832.98</v>
      </c>
    </row>
    <row r="2246" spans="1:5" x14ac:dyDescent="0.25">
      <c r="A2246" s="3" t="s">
        <v>5</v>
      </c>
      <c r="B2246" s="3" t="s">
        <v>666</v>
      </c>
      <c r="C2246" s="3" t="s">
        <v>259</v>
      </c>
      <c r="D2246" s="4">
        <f>HYPERLINK("https://cao.dolgi.msk.ru/account/1069117877/", 1069117877)</f>
        <v>1069117877</v>
      </c>
      <c r="E2246" s="3">
        <v>9805.16</v>
      </c>
    </row>
    <row r="2247" spans="1:5" x14ac:dyDescent="0.25">
      <c r="A2247" s="3" t="s">
        <v>5</v>
      </c>
      <c r="B2247" s="3" t="s">
        <v>666</v>
      </c>
      <c r="C2247" s="3" t="s">
        <v>263</v>
      </c>
      <c r="D2247" s="4">
        <f>HYPERLINK("https://cao.dolgi.msk.ru/account/1069119039/", 1069119039)</f>
        <v>1069119039</v>
      </c>
      <c r="E2247" s="3">
        <v>151968.1</v>
      </c>
    </row>
    <row r="2248" spans="1:5" x14ac:dyDescent="0.25">
      <c r="A2248" s="3" t="s">
        <v>5</v>
      </c>
      <c r="B2248" s="3" t="s">
        <v>667</v>
      </c>
      <c r="C2248" s="3" t="s">
        <v>89</v>
      </c>
      <c r="D2248" s="4">
        <f>HYPERLINK("https://cao.dolgi.msk.ru/account/1060378501/", 1060378501)</f>
        <v>1060378501</v>
      </c>
      <c r="E2248" s="3">
        <v>77495.73</v>
      </c>
    </row>
    <row r="2249" spans="1:5" x14ac:dyDescent="0.25">
      <c r="A2249" s="3" t="s">
        <v>5</v>
      </c>
      <c r="B2249" s="3" t="s">
        <v>667</v>
      </c>
      <c r="C2249" s="3" t="s">
        <v>134</v>
      </c>
      <c r="D2249" s="4">
        <f>HYPERLINK("https://cao.dolgi.msk.ru/account/1060888237/", 1060888237)</f>
        <v>1060888237</v>
      </c>
      <c r="E2249" s="3">
        <v>38375.370000000003</v>
      </c>
    </row>
    <row r="2250" spans="1:5" x14ac:dyDescent="0.25">
      <c r="A2250" s="3" t="s">
        <v>5</v>
      </c>
      <c r="B2250" s="3" t="s">
        <v>667</v>
      </c>
      <c r="C2250" s="3" t="s">
        <v>139</v>
      </c>
      <c r="D2250" s="4">
        <f>HYPERLINK("https://cao.dolgi.msk.ru/account/1060378616/", 1060378616)</f>
        <v>1060378616</v>
      </c>
      <c r="E2250" s="3">
        <v>5887.94</v>
      </c>
    </row>
    <row r="2251" spans="1:5" x14ac:dyDescent="0.25">
      <c r="A2251" s="3" t="s">
        <v>5</v>
      </c>
      <c r="B2251" s="3" t="s">
        <v>667</v>
      </c>
      <c r="C2251" s="3" t="s">
        <v>143</v>
      </c>
      <c r="D2251" s="4">
        <f>HYPERLINK("https://cao.dolgi.msk.ru/account/1060378675/", 1060378675)</f>
        <v>1060378675</v>
      </c>
      <c r="E2251" s="3">
        <v>2536.1799999999998</v>
      </c>
    </row>
    <row r="2252" spans="1:5" x14ac:dyDescent="0.25">
      <c r="A2252" s="3" t="s">
        <v>5</v>
      </c>
      <c r="B2252" s="3" t="s">
        <v>667</v>
      </c>
      <c r="C2252" s="3" t="s">
        <v>74</v>
      </c>
      <c r="D2252" s="4">
        <f>HYPERLINK("https://cao.dolgi.msk.ru/account/1060379395/", 1060379395)</f>
        <v>1060379395</v>
      </c>
      <c r="E2252" s="3">
        <v>3558.88</v>
      </c>
    </row>
    <row r="2253" spans="1:5" x14ac:dyDescent="0.25">
      <c r="A2253" s="3" t="s">
        <v>5</v>
      </c>
      <c r="B2253" s="3" t="s">
        <v>668</v>
      </c>
      <c r="C2253" s="3" t="s">
        <v>138</v>
      </c>
      <c r="D2253" s="4">
        <f>HYPERLINK("https://cao.dolgi.msk.ru/account/1060078859/", 1060078859)</f>
        <v>1060078859</v>
      </c>
      <c r="E2253" s="3">
        <v>302076.2</v>
      </c>
    </row>
    <row r="2254" spans="1:5" x14ac:dyDescent="0.25">
      <c r="A2254" s="3" t="s">
        <v>5</v>
      </c>
      <c r="B2254" s="3" t="s">
        <v>668</v>
      </c>
      <c r="C2254" s="3" t="s">
        <v>140</v>
      </c>
      <c r="D2254" s="4">
        <f>HYPERLINK("https://cao.dolgi.msk.ru/account/1060387168/", 1060387168)</f>
        <v>1060387168</v>
      </c>
      <c r="E2254" s="3">
        <v>7443.78</v>
      </c>
    </row>
    <row r="2255" spans="1:5" x14ac:dyDescent="0.25">
      <c r="A2255" s="3" t="s">
        <v>5</v>
      </c>
      <c r="B2255" s="3" t="s">
        <v>668</v>
      </c>
      <c r="C2255" s="3" t="s">
        <v>13</v>
      </c>
      <c r="D2255" s="4">
        <f>HYPERLINK("https://cao.dolgi.msk.ru/account/1060387256/", 1060387256)</f>
        <v>1060387256</v>
      </c>
      <c r="E2255" s="3">
        <v>406531.11</v>
      </c>
    </row>
    <row r="2256" spans="1:5" x14ac:dyDescent="0.25">
      <c r="A2256" s="3" t="s">
        <v>5</v>
      </c>
      <c r="B2256" s="3" t="s">
        <v>668</v>
      </c>
      <c r="C2256" s="3" t="s">
        <v>17</v>
      </c>
      <c r="D2256" s="4">
        <f>HYPERLINK("https://cao.dolgi.msk.ru/account/1060389817/", 1060389817)</f>
        <v>1060389817</v>
      </c>
      <c r="E2256" s="3">
        <v>51850.89</v>
      </c>
    </row>
    <row r="2257" spans="1:5" x14ac:dyDescent="0.25">
      <c r="A2257" s="3" t="s">
        <v>5</v>
      </c>
      <c r="B2257" s="3" t="s">
        <v>668</v>
      </c>
      <c r="C2257" s="3" t="s">
        <v>34</v>
      </c>
      <c r="D2257" s="4">
        <f>HYPERLINK("https://cao.dolgi.msk.ru/account/1060389403/", 1060389403)</f>
        <v>1060389403</v>
      </c>
      <c r="E2257" s="3">
        <v>19101.57</v>
      </c>
    </row>
    <row r="2258" spans="1:5" x14ac:dyDescent="0.25">
      <c r="A2258" s="3" t="s">
        <v>5</v>
      </c>
      <c r="B2258" s="3" t="s">
        <v>668</v>
      </c>
      <c r="C2258" s="3" t="s">
        <v>77</v>
      </c>
      <c r="D2258" s="4">
        <f>HYPERLINK("https://cao.dolgi.msk.ru/account/1060387889/", 1060387889)</f>
        <v>1060387889</v>
      </c>
      <c r="E2258" s="3">
        <v>270185.86</v>
      </c>
    </row>
    <row r="2259" spans="1:5" x14ac:dyDescent="0.25">
      <c r="A2259" s="3" t="s">
        <v>5</v>
      </c>
      <c r="B2259" s="3" t="s">
        <v>668</v>
      </c>
      <c r="C2259" s="3" t="s">
        <v>86</v>
      </c>
      <c r="D2259" s="4">
        <f>HYPERLINK("https://cao.dolgi.msk.ru/account/1060389809/", 1060389809)</f>
        <v>1060389809</v>
      </c>
      <c r="E2259" s="3">
        <v>6158.09</v>
      </c>
    </row>
    <row r="2260" spans="1:5" x14ac:dyDescent="0.25">
      <c r="A2260" s="3" t="s">
        <v>5</v>
      </c>
      <c r="B2260" s="3" t="s">
        <v>669</v>
      </c>
      <c r="C2260" s="3" t="s">
        <v>29</v>
      </c>
      <c r="D2260" s="4">
        <f>HYPERLINK("https://cao.dolgi.msk.ru/account/1060394085/", 1060394085)</f>
        <v>1060394085</v>
      </c>
      <c r="E2260" s="3">
        <v>16844.009999999998</v>
      </c>
    </row>
    <row r="2261" spans="1:5" x14ac:dyDescent="0.25">
      <c r="A2261" s="3" t="s">
        <v>5</v>
      </c>
      <c r="B2261" s="3" t="s">
        <v>669</v>
      </c>
      <c r="C2261" s="3" t="s">
        <v>31</v>
      </c>
      <c r="D2261" s="4">
        <f>HYPERLINK("https://cao.dolgi.msk.ru/account/1060389083/", 1060389083)</f>
        <v>1060389083</v>
      </c>
      <c r="E2261" s="3">
        <v>52070.400000000001</v>
      </c>
    </row>
    <row r="2262" spans="1:5" x14ac:dyDescent="0.25">
      <c r="A2262" s="3" t="s">
        <v>5</v>
      </c>
      <c r="B2262" s="3" t="s">
        <v>669</v>
      </c>
      <c r="C2262" s="3" t="s">
        <v>41</v>
      </c>
      <c r="D2262" s="4">
        <f>HYPERLINK("https://cao.dolgi.msk.ru/account/1060817201/", 1060817201)</f>
        <v>1060817201</v>
      </c>
      <c r="E2262" s="3">
        <v>59393.120000000003</v>
      </c>
    </row>
    <row r="2263" spans="1:5" x14ac:dyDescent="0.25">
      <c r="A2263" s="3" t="s">
        <v>5</v>
      </c>
      <c r="B2263" s="3" t="s">
        <v>669</v>
      </c>
      <c r="C2263" s="3" t="s">
        <v>58</v>
      </c>
      <c r="D2263" s="4">
        <f>HYPERLINK("https://cao.dolgi.msk.ru/account/1060388582/", 1060388582)</f>
        <v>1060388582</v>
      </c>
      <c r="E2263" s="3">
        <v>89412.08</v>
      </c>
    </row>
    <row r="2264" spans="1:5" x14ac:dyDescent="0.25">
      <c r="A2264" s="3" t="s">
        <v>5</v>
      </c>
      <c r="B2264" s="3" t="s">
        <v>669</v>
      </c>
      <c r="C2264" s="3" t="s">
        <v>65</v>
      </c>
      <c r="D2264" s="4">
        <f>HYPERLINK("https://cao.dolgi.msk.ru/account/1060079018/", 1060079018)</f>
        <v>1060079018</v>
      </c>
      <c r="E2264" s="3">
        <v>3923.14</v>
      </c>
    </row>
    <row r="2265" spans="1:5" x14ac:dyDescent="0.25">
      <c r="A2265" s="3" t="s">
        <v>5</v>
      </c>
      <c r="B2265" s="3" t="s">
        <v>669</v>
      </c>
      <c r="C2265" s="3" t="s">
        <v>73</v>
      </c>
      <c r="D2265" s="4">
        <f>HYPERLINK("https://cao.dolgi.msk.ru/account/1060394317/", 1060394317)</f>
        <v>1060394317</v>
      </c>
      <c r="E2265" s="3">
        <v>5125.93</v>
      </c>
    </row>
    <row r="2266" spans="1:5" x14ac:dyDescent="0.25">
      <c r="A2266" s="3" t="s">
        <v>5</v>
      </c>
      <c r="B2266" s="3" t="s">
        <v>669</v>
      </c>
      <c r="C2266" s="3" t="s">
        <v>76</v>
      </c>
      <c r="D2266" s="4">
        <f>HYPERLINK("https://cao.dolgi.msk.ru/account/1060388515/", 1060388515)</f>
        <v>1060388515</v>
      </c>
      <c r="E2266" s="3">
        <v>37890.28</v>
      </c>
    </row>
    <row r="2267" spans="1:5" x14ac:dyDescent="0.25">
      <c r="A2267" s="3" t="s">
        <v>5</v>
      </c>
      <c r="B2267" s="3" t="s">
        <v>669</v>
      </c>
      <c r="C2267" s="3" t="s">
        <v>85</v>
      </c>
      <c r="D2267" s="4">
        <f>HYPERLINK("https://cao.dolgi.msk.ru/account/1060388654/", 1060388654)</f>
        <v>1060388654</v>
      </c>
      <c r="E2267" s="3">
        <v>353835.65</v>
      </c>
    </row>
    <row r="2268" spans="1:5" x14ac:dyDescent="0.25">
      <c r="A2268" s="3" t="s">
        <v>5</v>
      </c>
      <c r="B2268" s="3" t="s">
        <v>669</v>
      </c>
      <c r="C2268" s="3" t="s">
        <v>92</v>
      </c>
      <c r="D2268" s="4">
        <f>HYPERLINK("https://cao.dolgi.msk.ru/account/1060393453/", 1060393453)</f>
        <v>1060393453</v>
      </c>
      <c r="E2268" s="3">
        <v>40620.35</v>
      </c>
    </row>
    <row r="2269" spans="1:5" x14ac:dyDescent="0.25">
      <c r="A2269" s="3" t="s">
        <v>5</v>
      </c>
      <c r="B2269" s="3" t="s">
        <v>669</v>
      </c>
      <c r="C2269" s="3" t="s">
        <v>99</v>
      </c>
      <c r="D2269" s="4">
        <f>HYPERLINK("https://cao.dolgi.msk.ru/account/1060388849/", 1060388849)</f>
        <v>1060388849</v>
      </c>
      <c r="E2269" s="3">
        <v>588059.03</v>
      </c>
    </row>
    <row r="2270" spans="1:5" x14ac:dyDescent="0.25">
      <c r="A2270" s="3" t="s">
        <v>5</v>
      </c>
      <c r="B2270" s="3" t="s">
        <v>669</v>
      </c>
      <c r="C2270" s="3" t="s">
        <v>109</v>
      </c>
      <c r="D2270" s="4">
        <f>HYPERLINK("https://cao.dolgi.msk.ru/account/1060075914/", 1060075914)</f>
        <v>1060075914</v>
      </c>
      <c r="E2270" s="3">
        <v>29076.42</v>
      </c>
    </row>
    <row r="2271" spans="1:5" x14ac:dyDescent="0.25">
      <c r="A2271" s="3" t="s">
        <v>5</v>
      </c>
      <c r="B2271" s="3" t="s">
        <v>669</v>
      </c>
      <c r="C2271" s="3" t="s">
        <v>152</v>
      </c>
      <c r="D2271" s="4">
        <f>HYPERLINK("https://cao.dolgi.msk.ru/account/1060393023/", 1060393023)</f>
        <v>1060393023</v>
      </c>
      <c r="E2271" s="3">
        <v>12216.79</v>
      </c>
    </row>
    <row r="2272" spans="1:5" x14ac:dyDescent="0.25">
      <c r="A2272" s="3" t="s">
        <v>5</v>
      </c>
      <c r="B2272" s="3" t="s">
        <v>670</v>
      </c>
      <c r="C2272" s="3" t="s">
        <v>134</v>
      </c>
      <c r="D2272" s="4">
        <f>HYPERLINK("https://cao.dolgi.msk.ru/account/1060084052/", 1060084052)</f>
        <v>1060084052</v>
      </c>
      <c r="E2272" s="3">
        <v>15784.87</v>
      </c>
    </row>
    <row r="2273" spans="1:5" x14ac:dyDescent="0.25">
      <c r="A2273" s="3" t="s">
        <v>5</v>
      </c>
      <c r="B2273" s="3" t="s">
        <v>670</v>
      </c>
      <c r="C2273" s="3" t="s">
        <v>137</v>
      </c>
      <c r="D2273" s="4">
        <f>HYPERLINK("https://cao.dolgi.msk.ru/account/1060084407/", 1060084407)</f>
        <v>1060084407</v>
      </c>
      <c r="E2273" s="3">
        <v>15903.15</v>
      </c>
    </row>
    <row r="2274" spans="1:5" x14ac:dyDescent="0.25">
      <c r="A2274" s="3" t="s">
        <v>5</v>
      </c>
      <c r="B2274" s="3" t="s">
        <v>670</v>
      </c>
      <c r="C2274" s="3" t="s">
        <v>141</v>
      </c>
      <c r="D2274" s="4">
        <f>HYPERLINK("https://cao.dolgi.msk.ru/account/1060096889/", 1060096889)</f>
        <v>1060096889</v>
      </c>
      <c r="E2274" s="3">
        <v>4500.3</v>
      </c>
    </row>
    <row r="2275" spans="1:5" x14ac:dyDescent="0.25">
      <c r="A2275" s="3" t="s">
        <v>5</v>
      </c>
      <c r="B2275" s="3" t="s">
        <v>670</v>
      </c>
      <c r="C2275" s="3" t="s">
        <v>17</v>
      </c>
      <c r="D2275" s="4">
        <f>HYPERLINK("https://cao.dolgi.msk.ru/account/1060085856/", 1060085856)</f>
        <v>1060085856</v>
      </c>
      <c r="E2275" s="3">
        <v>4055.19</v>
      </c>
    </row>
    <row r="2276" spans="1:5" x14ac:dyDescent="0.25">
      <c r="A2276" s="3" t="s">
        <v>5</v>
      </c>
      <c r="B2276" s="3" t="s">
        <v>670</v>
      </c>
      <c r="C2276" s="3" t="s">
        <v>40</v>
      </c>
      <c r="D2276" s="4">
        <f>HYPERLINK("https://cao.dolgi.msk.ru/account/1060087325/", 1060087325)</f>
        <v>1060087325</v>
      </c>
      <c r="E2276" s="3">
        <v>9462.43</v>
      </c>
    </row>
    <row r="2277" spans="1:5" x14ac:dyDescent="0.25">
      <c r="A2277" s="3" t="s">
        <v>5</v>
      </c>
      <c r="B2277" s="3" t="s">
        <v>670</v>
      </c>
      <c r="C2277" s="3" t="s">
        <v>63</v>
      </c>
      <c r="D2277" s="4">
        <f>HYPERLINK("https://cao.dolgi.msk.ru/account/1060083922/", 1060083922)</f>
        <v>1060083922</v>
      </c>
      <c r="E2277" s="3">
        <v>4875.6400000000003</v>
      </c>
    </row>
    <row r="2278" spans="1:5" x14ac:dyDescent="0.25">
      <c r="A2278" s="3" t="s">
        <v>5</v>
      </c>
      <c r="B2278" s="3" t="s">
        <v>670</v>
      </c>
      <c r="C2278" s="3" t="s">
        <v>83</v>
      </c>
      <c r="D2278" s="4">
        <f>HYPERLINK("https://cao.dolgi.msk.ru/account/1060086795/", 1060086795)</f>
        <v>1060086795</v>
      </c>
      <c r="E2278" s="3">
        <v>8833.4599999999991</v>
      </c>
    </row>
    <row r="2279" spans="1:5" x14ac:dyDescent="0.25">
      <c r="A2279" s="3" t="s">
        <v>5</v>
      </c>
      <c r="B2279" s="3" t="s">
        <v>670</v>
      </c>
      <c r="C2279" s="3" t="s">
        <v>99</v>
      </c>
      <c r="D2279" s="4">
        <f>HYPERLINK("https://cao.dolgi.msk.ru/account/1060095333/", 1060095333)</f>
        <v>1060095333</v>
      </c>
      <c r="E2279" s="3">
        <v>199499.01</v>
      </c>
    </row>
    <row r="2280" spans="1:5" x14ac:dyDescent="0.25">
      <c r="A2280" s="3" t="s">
        <v>5</v>
      </c>
      <c r="B2280" s="3" t="s">
        <v>670</v>
      </c>
      <c r="C2280" s="3" t="s">
        <v>107</v>
      </c>
      <c r="D2280" s="4">
        <f>HYPERLINK("https://cao.dolgi.msk.ru/account/1060092204/", 1060092204)</f>
        <v>1060092204</v>
      </c>
      <c r="E2280" s="3">
        <v>8867.82</v>
      </c>
    </row>
    <row r="2281" spans="1:5" x14ac:dyDescent="0.25">
      <c r="A2281" s="3" t="s">
        <v>5</v>
      </c>
      <c r="B2281" s="3" t="s">
        <v>670</v>
      </c>
      <c r="C2281" s="3" t="s">
        <v>111</v>
      </c>
      <c r="D2281" s="4">
        <f>HYPERLINK("https://cao.dolgi.msk.ru/account/1060093274/", 1060093274)</f>
        <v>1060093274</v>
      </c>
      <c r="E2281" s="3">
        <v>7076.78</v>
      </c>
    </row>
    <row r="2282" spans="1:5" x14ac:dyDescent="0.25">
      <c r="A2282" s="3" t="s">
        <v>5</v>
      </c>
      <c r="B2282" s="3" t="s">
        <v>670</v>
      </c>
      <c r="C2282" s="3" t="s">
        <v>115</v>
      </c>
      <c r="D2282" s="4">
        <f>HYPERLINK("https://cao.dolgi.msk.ru/account/1060095173/", 1060095173)</f>
        <v>1060095173</v>
      </c>
      <c r="E2282" s="3">
        <v>3537.53</v>
      </c>
    </row>
    <row r="2283" spans="1:5" x14ac:dyDescent="0.25">
      <c r="A2283" s="3" t="s">
        <v>5</v>
      </c>
      <c r="B2283" s="3" t="s">
        <v>670</v>
      </c>
      <c r="C2283" s="3" t="s">
        <v>161</v>
      </c>
      <c r="D2283" s="4">
        <f>HYPERLINK("https://cao.dolgi.msk.ru/account/1060087085/", 1060087085)</f>
        <v>1060087085</v>
      </c>
      <c r="E2283" s="3">
        <v>151972.95000000001</v>
      </c>
    </row>
    <row r="2284" spans="1:5" x14ac:dyDescent="0.25">
      <c r="A2284" s="3" t="s">
        <v>5</v>
      </c>
      <c r="B2284" s="3" t="s">
        <v>670</v>
      </c>
      <c r="C2284" s="3" t="s">
        <v>180</v>
      </c>
      <c r="D2284" s="4">
        <f>HYPERLINK("https://cao.dolgi.msk.ru/account/1060087181/", 1060087181)</f>
        <v>1060087181</v>
      </c>
      <c r="E2284" s="3">
        <v>5527</v>
      </c>
    </row>
    <row r="2285" spans="1:5" x14ac:dyDescent="0.25">
      <c r="A2285" s="3" t="s">
        <v>5</v>
      </c>
      <c r="B2285" s="3" t="s">
        <v>670</v>
      </c>
      <c r="C2285" s="3" t="s">
        <v>187</v>
      </c>
      <c r="D2285" s="4">
        <f>HYPERLINK("https://cao.dolgi.msk.ru/account/1060096627/", 1060096627)</f>
        <v>1060096627</v>
      </c>
      <c r="E2285" s="3">
        <v>28456.47</v>
      </c>
    </row>
    <row r="2286" spans="1:5" x14ac:dyDescent="0.25">
      <c r="A2286" s="3" t="s">
        <v>5</v>
      </c>
      <c r="B2286" s="3" t="s">
        <v>670</v>
      </c>
      <c r="C2286" s="3" t="s">
        <v>189</v>
      </c>
      <c r="D2286" s="4">
        <f>HYPERLINK("https://cao.dolgi.msk.ru/account/1060772357/", 1060772357)</f>
        <v>1060772357</v>
      </c>
      <c r="E2286" s="3">
        <v>11539.34</v>
      </c>
    </row>
    <row r="2287" spans="1:5" x14ac:dyDescent="0.25">
      <c r="A2287" s="3" t="s">
        <v>5</v>
      </c>
      <c r="B2287" s="3" t="s">
        <v>670</v>
      </c>
      <c r="C2287" s="3" t="s">
        <v>209</v>
      </c>
      <c r="D2287" s="4">
        <f>HYPERLINK("https://cao.dolgi.msk.ru/account/1060094664/", 1060094664)</f>
        <v>1060094664</v>
      </c>
      <c r="E2287" s="3">
        <v>12764.22</v>
      </c>
    </row>
    <row r="2288" spans="1:5" x14ac:dyDescent="0.25">
      <c r="A2288" s="3" t="s">
        <v>5</v>
      </c>
      <c r="B2288" s="3" t="s">
        <v>670</v>
      </c>
      <c r="C2288" s="3" t="s">
        <v>236</v>
      </c>
      <c r="D2288" s="4">
        <f>HYPERLINK("https://cao.dolgi.msk.ru/account/1060091148/", 1060091148)</f>
        <v>1060091148</v>
      </c>
      <c r="E2288" s="3">
        <v>5091.93</v>
      </c>
    </row>
    <row r="2289" spans="1:5" x14ac:dyDescent="0.25">
      <c r="A2289" s="3" t="s">
        <v>5</v>
      </c>
      <c r="B2289" s="3" t="s">
        <v>670</v>
      </c>
      <c r="C2289" s="3" t="s">
        <v>251</v>
      </c>
      <c r="D2289" s="4">
        <f>HYPERLINK("https://cao.dolgi.msk.ru/account/1060091834/", 1060091834)</f>
        <v>1060091834</v>
      </c>
      <c r="E2289" s="3">
        <v>16020.72</v>
      </c>
    </row>
    <row r="2290" spans="1:5" x14ac:dyDescent="0.25">
      <c r="A2290" s="3" t="s">
        <v>5</v>
      </c>
      <c r="B2290" s="3" t="s">
        <v>670</v>
      </c>
      <c r="C2290" s="3" t="s">
        <v>258</v>
      </c>
      <c r="D2290" s="4">
        <f>HYPERLINK("https://cao.dolgi.msk.ru/account/1060086103/", 1060086103)</f>
        <v>1060086103</v>
      </c>
      <c r="E2290" s="3">
        <v>6726.06</v>
      </c>
    </row>
    <row r="2291" spans="1:5" x14ac:dyDescent="0.25">
      <c r="A2291" s="3" t="s">
        <v>5</v>
      </c>
      <c r="B2291" s="3" t="s">
        <v>670</v>
      </c>
      <c r="C2291" s="3" t="s">
        <v>266</v>
      </c>
      <c r="D2291" s="4">
        <f>HYPERLINK("https://cao.dolgi.msk.ru/account/1060084482/", 1060084482)</f>
        <v>1060084482</v>
      </c>
      <c r="E2291" s="3">
        <v>23986.31</v>
      </c>
    </row>
    <row r="2292" spans="1:5" x14ac:dyDescent="0.25">
      <c r="A2292" s="3" t="s">
        <v>5</v>
      </c>
      <c r="B2292" s="3" t="s">
        <v>671</v>
      </c>
      <c r="C2292" s="3" t="s">
        <v>7</v>
      </c>
      <c r="D2292" s="4">
        <f>HYPERLINK("https://cao.dolgi.msk.ru/account/1060083658/", 1060083658)</f>
        <v>1060083658</v>
      </c>
      <c r="E2292" s="3">
        <v>10207.56</v>
      </c>
    </row>
    <row r="2293" spans="1:5" x14ac:dyDescent="0.25">
      <c r="A2293" s="3" t="s">
        <v>5</v>
      </c>
      <c r="B2293" s="3" t="s">
        <v>671</v>
      </c>
      <c r="C2293" s="3" t="s">
        <v>16</v>
      </c>
      <c r="D2293" s="4">
        <f>HYPERLINK("https://cao.dolgi.msk.ru/account/1060083666/", 1060083666)</f>
        <v>1060083666</v>
      </c>
      <c r="E2293" s="3">
        <v>58119.71</v>
      </c>
    </row>
    <row r="2294" spans="1:5" x14ac:dyDescent="0.25">
      <c r="A2294" s="3" t="s">
        <v>5</v>
      </c>
      <c r="B2294" s="3" t="s">
        <v>671</v>
      </c>
      <c r="C2294" s="3" t="s">
        <v>50</v>
      </c>
      <c r="D2294" s="4">
        <f>HYPERLINK("https://cao.dolgi.msk.ru/account/1060086947/", 1060086947)</f>
        <v>1060086947</v>
      </c>
      <c r="E2294" s="3">
        <v>17546.03</v>
      </c>
    </row>
    <row r="2295" spans="1:5" x14ac:dyDescent="0.25">
      <c r="A2295" s="3" t="s">
        <v>5</v>
      </c>
      <c r="B2295" s="3" t="s">
        <v>671</v>
      </c>
      <c r="C2295" s="3" t="s">
        <v>77</v>
      </c>
      <c r="D2295" s="4">
        <f>HYPERLINK("https://cao.dolgi.msk.ru/account/1060097208/", 1060097208)</f>
        <v>1060097208</v>
      </c>
      <c r="E2295" s="3">
        <v>7986.91</v>
      </c>
    </row>
    <row r="2296" spans="1:5" x14ac:dyDescent="0.25">
      <c r="A2296" s="3" t="s">
        <v>5</v>
      </c>
      <c r="B2296" s="3" t="s">
        <v>671</v>
      </c>
      <c r="C2296" s="3" t="s">
        <v>82</v>
      </c>
      <c r="D2296" s="4">
        <f>HYPERLINK("https://cao.dolgi.msk.ru/account/1060085549/", 1060085549)</f>
        <v>1060085549</v>
      </c>
      <c r="E2296" s="3">
        <v>13104.22</v>
      </c>
    </row>
    <row r="2297" spans="1:5" x14ac:dyDescent="0.25">
      <c r="A2297" s="3" t="s">
        <v>5</v>
      </c>
      <c r="B2297" s="3" t="s">
        <v>671</v>
      </c>
      <c r="C2297" s="3" t="s">
        <v>153</v>
      </c>
      <c r="D2297" s="4">
        <f>HYPERLINK("https://cao.dolgi.msk.ru/account/1060091471/", 1060091471)</f>
        <v>1060091471</v>
      </c>
      <c r="E2297" s="3">
        <v>21133.06</v>
      </c>
    </row>
    <row r="2298" spans="1:5" x14ac:dyDescent="0.25">
      <c r="A2298" s="3" t="s">
        <v>5</v>
      </c>
      <c r="B2298" s="3" t="s">
        <v>671</v>
      </c>
      <c r="C2298" s="3" t="s">
        <v>172</v>
      </c>
      <c r="D2298" s="4">
        <f>HYPERLINK("https://cao.dolgi.msk.ru/account/1060085434/", 1060085434)</f>
        <v>1060085434</v>
      </c>
      <c r="E2298" s="3">
        <v>34973.49</v>
      </c>
    </row>
    <row r="2299" spans="1:5" x14ac:dyDescent="0.25">
      <c r="A2299" s="3" t="s">
        <v>5</v>
      </c>
      <c r="B2299" s="3" t="s">
        <v>671</v>
      </c>
      <c r="C2299" s="3" t="s">
        <v>184</v>
      </c>
      <c r="D2299" s="4">
        <f>HYPERLINK("https://cao.dolgi.msk.ru/account/1060087077/", 1060087077)</f>
        <v>1060087077</v>
      </c>
      <c r="E2299" s="3">
        <v>15439.77</v>
      </c>
    </row>
    <row r="2300" spans="1:5" x14ac:dyDescent="0.25">
      <c r="A2300" s="3" t="s">
        <v>5</v>
      </c>
      <c r="B2300" s="3" t="s">
        <v>672</v>
      </c>
      <c r="C2300" s="3" t="s">
        <v>30</v>
      </c>
      <c r="D2300" s="4">
        <f>HYPERLINK("https://cao.dolgi.msk.ru/account/1060071163/", 1060071163)</f>
        <v>1060071163</v>
      </c>
      <c r="E2300" s="3">
        <v>16568.490000000002</v>
      </c>
    </row>
    <row r="2301" spans="1:5" x14ac:dyDescent="0.25">
      <c r="A2301" s="3" t="s">
        <v>5</v>
      </c>
      <c r="B2301" s="3" t="s">
        <v>672</v>
      </c>
      <c r="C2301" s="3" t="s">
        <v>143</v>
      </c>
      <c r="D2301" s="4">
        <f>HYPERLINK("https://cao.dolgi.msk.ru/account/1060076802/", 1060076802)</f>
        <v>1060076802</v>
      </c>
      <c r="E2301" s="3">
        <v>209609.03</v>
      </c>
    </row>
    <row r="2302" spans="1:5" x14ac:dyDescent="0.25">
      <c r="A2302" s="3" t="s">
        <v>5</v>
      </c>
      <c r="B2302" s="3" t="s">
        <v>672</v>
      </c>
      <c r="C2302" s="3" t="s">
        <v>22</v>
      </c>
      <c r="D2302" s="4">
        <f>HYPERLINK("https://cao.dolgi.msk.ru/account/1060896755/", 1060896755)</f>
        <v>1060896755</v>
      </c>
      <c r="E2302" s="3">
        <v>11768.89</v>
      </c>
    </row>
    <row r="2303" spans="1:5" x14ac:dyDescent="0.25">
      <c r="A2303" s="3" t="s">
        <v>5</v>
      </c>
      <c r="B2303" s="3" t="s">
        <v>672</v>
      </c>
      <c r="C2303" s="3" t="s">
        <v>53</v>
      </c>
      <c r="D2303" s="4">
        <f>HYPERLINK("https://cao.dolgi.msk.ru/account/1060393816/", 1060393816)</f>
        <v>1060393816</v>
      </c>
      <c r="E2303" s="3">
        <v>5852.87</v>
      </c>
    </row>
    <row r="2304" spans="1:5" x14ac:dyDescent="0.25">
      <c r="A2304" s="3" t="s">
        <v>5</v>
      </c>
      <c r="B2304" s="3" t="s">
        <v>672</v>
      </c>
      <c r="C2304" s="3" t="s">
        <v>54</v>
      </c>
      <c r="D2304" s="4">
        <f>HYPERLINK("https://cao.dolgi.msk.ru/account/1060072449/", 1060072449)</f>
        <v>1060072449</v>
      </c>
      <c r="E2304" s="3">
        <v>18249.12</v>
      </c>
    </row>
    <row r="2305" spans="1:5" x14ac:dyDescent="0.25">
      <c r="A2305" s="3" t="s">
        <v>5</v>
      </c>
      <c r="B2305" s="3" t="s">
        <v>672</v>
      </c>
      <c r="C2305" s="3" t="s">
        <v>85</v>
      </c>
      <c r="D2305" s="4">
        <f>HYPERLINK("https://cao.dolgi.msk.ru/account/1060394157/", 1060394157)</f>
        <v>1060394157</v>
      </c>
      <c r="E2305" s="3">
        <v>140535.12</v>
      </c>
    </row>
    <row r="2306" spans="1:5" x14ac:dyDescent="0.25">
      <c r="A2306" s="3" t="s">
        <v>5</v>
      </c>
      <c r="B2306" s="3" t="s">
        <v>672</v>
      </c>
      <c r="C2306" s="3" t="s">
        <v>95</v>
      </c>
      <c r="D2306" s="4">
        <f>HYPERLINK("https://cao.dolgi.msk.ru/account/1060394333/", 1060394333)</f>
        <v>1060394333</v>
      </c>
      <c r="E2306" s="3">
        <v>5826.31</v>
      </c>
    </row>
    <row r="2307" spans="1:5" x14ac:dyDescent="0.25">
      <c r="A2307" s="3" t="s">
        <v>5</v>
      </c>
      <c r="B2307" s="3" t="s">
        <v>672</v>
      </c>
      <c r="C2307" s="3" t="s">
        <v>149</v>
      </c>
      <c r="D2307" s="4">
        <f>HYPERLINK("https://cao.dolgi.msk.ru/account/1060078349/", 1060078349)</f>
        <v>1060078349</v>
      </c>
      <c r="E2307" s="3">
        <v>117567.2</v>
      </c>
    </row>
    <row r="2308" spans="1:5" x14ac:dyDescent="0.25">
      <c r="A2308" s="3" t="s">
        <v>5</v>
      </c>
      <c r="B2308" s="3" t="s">
        <v>672</v>
      </c>
      <c r="C2308" s="3" t="s">
        <v>168</v>
      </c>
      <c r="D2308" s="4">
        <f>HYPERLINK("https://cao.dolgi.msk.ru/account/1060079413/", 1060079413)</f>
        <v>1060079413</v>
      </c>
      <c r="E2308" s="3">
        <v>75929.740000000005</v>
      </c>
    </row>
    <row r="2309" spans="1:5" x14ac:dyDescent="0.25">
      <c r="A2309" s="3" t="s">
        <v>5</v>
      </c>
      <c r="B2309" s="3" t="s">
        <v>672</v>
      </c>
      <c r="C2309" s="3" t="s">
        <v>196</v>
      </c>
      <c r="D2309" s="4">
        <f>HYPERLINK("https://cao.dolgi.msk.ru/account/1060071833/", 1060071833)</f>
        <v>1060071833</v>
      </c>
      <c r="E2309" s="3">
        <v>3655.46</v>
      </c>
    </row>
    <row r="2310" spans="1:5" x14ac:dyDescent="0.25">
      <c r="A2310" s="3" t="s">
        <v>5</v>
      </c>
      <c r="B2310" s="3" t="s">
        <v>672</v>
      </c>
      <c r="C2310" s="3" t="s">
        <v>236</v>
      </c>
      <c r="D2310" s="4">
        <f>HYPERLINK("https://cao.dolgi.msk.ru/account/1060079384/", 1060079384)</f>
        <v>1060079384</v>
      </c>
      <c r="E2310" s="3">
        <v>24352.78</v>
      </c>
    </row>
    <row r="2311" spans="1:5" x14ac:dyDescent="0.25">
      <c r="A2311" s="3" t="s">
        <v>5</v>
      </c>
      <c r="B2311" s="3" t="s">
        <v>672</v>
      </c>
      <c r="C2311" s="3" t="s">
        <v>262</v>
      </c>
      <c r="D2311" s="4">
        <f>HYPERLINK("https://cao.dolgi.msk.ru/account/1060077231/", 1060077231)</f>
        <v>1060077231</v>
      </c>
      <c r="E2311" s="3">
        <v>8649.5</v>
      </c>
    </row>
    <row r="2312" spans="1:5" x14ac:dyDescent="0.25">
      <c r="A2312" s="3" t="s">
        <v>5</v>
      </c>
      <c r="B2312" s="3" t="s">
        <v>672</v>
      </c>
      <c r="C2312" s="3" t="s">
        <v>264</v>
      </c>
      <c r="D2312" s="4">
        <f>HYPERLINK("https://cao.dolgi.msk.ru/account/1060771098/", 1060771098)</f>
        <v>1060771098</v>
      </c>
      <c r="E2312" s="3">
        <v>12966.66</v>
      </c>
    </row>
    <row r="2313" spans="1:5" x14ac:dyDescent="0.25">
      <c r="A2313" s="3" t="s">
        <v>5</v>
      </c>
      <c r="B2313" s="3" t="s">
        <v>673</v>
      </c>
      <c r="C2313" s="3" t="s">
        <v>133</v>
      </c>
      <c r="D2313" s="4">
        <f>HYPERLINK("https://cao.dolgi.msk.ru/account/1060071024/", 1060071024)</f>
        <v>1060071024</v>
      </c>
      <c r="E2313" s="3">
        <v>343662.66</v>
      </c>
    </row>
    <row r="2314" spans="1:5" x14ac:dyDescent="0.25">
      <c r="A2314" s="3" t="s">
        <v>5</v>
      </c>
      <c r="B2314" s="3" t="s">
        <v>673</v>
      </c>
      <c r="C2314" s="3" t="s">
        <v>142</v>
      </c>
      <c r="D2314" s="4">
        <f>HYPERLINK("https://cao.dolgi.msk.ru/account/1060079253/", 1060079253)</f>
        <v>1060079253</v>
      </c>
      <c r="E2314" s="3">
        <v>18449.5</v>
      </c>
    </row>
    <row r="2315" spans="1:5" x14ac:dyDescent="0.25">
      <c r="A2315" s="3" t="s">
        <v>5</v>
      </c>
      <c r="B2315" s="3" t="s">
        <v>673</v>
      </c>
      <c r="C2315" s="3" t="s">
        <v>143</v>
      </c>
      <c r="D2315" s="4">
        <f>HYPERLINK("https://cao.dolgi.msk.ru/account/1060073302/", 1060073302)</f>
        <v>1060073302</v>
      </c>
      <c r="E2315" s="3">
        <v>7351.89</v>
      </c>
    </row>
    <row r="2316" spans="1:5" x14ac:dyDescent="0.25">
      <c r="A2316" s="3" t="s">
        <v>5</v>
      </c>
      <c r="B2316" s="3" t="s">
        <v>673</v>
      </c>
      <c r="C2316" s="3" t="s">
        <v>15</v>
      </c>
      <c r="D2316" s="4">
        <f>HYPERLINK("https://cao.dolgi.msk.ru/account/1060894303/", 1060894303)</f>
        <v>1060894303</v>
      </c>
      <c r="E2316" s="3">
        <v>11571.46</v>
      </c>
    </row>
    <row r="2317" spans="1:5" x14ac:dyDescent="0.25">
      <c r="A2317" s="3" t="s">
        <v>5</v>
      </c>
      <c r="B2317" s="3" t="s">
        <v>673</v>
      </c>
      <c r="C2317" s="3" t="s">
        <v>26</v>
      </c>
      <c r="D2317" s="4">
        <f>HYPERLINK("https://cao.dolgi.msk.ru/account/1060098171/", 1060098171)</f>
        <v>1060098171</v>
      </c>
      <c r="E2317" s="3">
        <v>18098.509999999998</v>
      </c>
    </row>
    <row r="2318" spans="1:5" x14ac:dyDescent="0.25">
      <c r="A2318" s="3" t="s">
        <v>5</v>
      </c>
      <c r="B2318" s="3" t="s">
        <v>673</v>
      </c>
      <c r="C2318" s="3" t="s">
        <v>47</v>
      </c>
      <c r="D2318" s="4">
        <f>HYPERLINK("https://cao.dolgi.msk.ru/account/1060072203/", 1060072203)</f>
        <v>1060072203</v>
      </c>
      <c r="E2318" s="3">
        <v>12138.79</v>
      </c>
    </row>
    <row r="2319" spans="1:5" x14ac:dyDescent="0.25">
      <c r="A2319" s="3" t="s">
        <v>5</v>
      </c>
      <c r="B2319" s="3" t="s">
        <v>673</v>
      </c>
      <c r="C2319" s="3" t="s">
        <v>59</v>
      </c>
      <c r="D2319" s="4">
        <f>HYPERLINK("https://cao.dolgi.msk.ru/account/1060070806/", 1060070806)</f>
        <v>1060070806</v>
      </c>
      <c r="E2319" s="3">
        <v>8499.5300000000007</v>
      </c>
    </row>
    <row r="2320" spans="1:5" x14ac:dyDescent="0.25">
      <c r="A2320" s="3" t="s">
        <v>5</v>
      </c>
      <c r="B2320" s="3" t="s">
        <v>673</v>
      </c>
      <c r="C2320" s="3" t="s">
        <v>84</v>
      </c>
      <c r="D2320" s="4">
        <f>HYPERLINK("https://cao.dolgi.msk.ru/account/1060078461/", 1060078461)</f>
        <v>1060078461</v>
      </c>
      <c r="E2320" s="3">
        <v>12578.83</v>
      </c>
    </row>
    <row r="2321" spans="1:5" x14ac:dyDescent="0.25">
      <c r="A2321" s="3" t="s">
        <v>5</v>
      </c>
      <c r="B2321" s="3" t="s">
        <v>673</v>
      </c>
      <c r="C2321" s="3" t="s">
        <v>149</v>
      </c>
      <c r="D2321" s="4">
        <f>HYPERLINK("https://cao.dolgi.msk.ru/account/1060076925/", 1060076925)</f>
        <v>1060076925</v>
      </c>
      <c r="E2321" s="3">
        <v>6974.05</v>
      </c>
    </row>
    <row r="2322" spans="1:5" x14ac:dyDescent="0.25">
      <c r="A2322" s="3" t="s">
        <v>5</v>
      </c>
      <c r="B2322" s="3" t="s">
        <v>673</v>
      </c>
      <c r="C2322" s="3" t="s">
        <v>158</v>
      </c>
      <c r="D2322" s="4">
        <f>HYPERLINK("https://cao.dolgi.msk.ru/account/1060072027/", 1060072027)</f>
        <v>1060072027</v>
      </c>
      <c r="E2322" s="3">
        <v>9338.2099999999991</v>
      </c>
    </row>
    <row r="2323" spans="1:5" x14ac:dyDescent="0.25">
      <c r="A2323" s="3" t="s">
        <v>5</v>
      </c>
      <c r="B2323" s="3" t="s">
        <v>673</v>
      </c>
      <c r="C2323" s="3" t="s">
        <v>187</v>
      </c>
      <c r="D2323" s="4">
        <f>HYPERLINK("https://cao.dolgi.msk.ru/account/1060076896/", 1060076896)</f>
        <v>1060076896</v>
      </c>
      <c r="E2323" s="3">
        <v>18528.57</v>
      </c>
    </row>
    <row r="2324" spans="1:5" x14ac:dyDescent="0.25">
      <c r="A2324" s="3" t="s">
        <v>5</v>
      </c>
      <c r="B2324" s="3" t="s">
        <v>674</v>
      </c>
      <c r="C2324" s="3" t="s">
        <v>131</v>
      </c>
      <c r="D2324" s="4">
        <f>HYPERLINK("https://cao.dolgi.msk.ru/account/1060313724/", 1060313724)</f>
        <v>1060313724</v>
      </c>
      <c r="E2324" s="3">
        <v>73976</v>
      </c>
    </row>
    <row r="2325" spans="1:5" x14ac:dyDescent="0.25">
      <c r="A2325" s="3" t="s">
        <v>5</v>
      </c>
      <c r="B2325" s="3" t="s">
        <v>674</v>
      </c>
      <c r="C2325" s="3" t="s">
        <v>138</v>
      </c>
      <c r="D2325" s="4">
        <f>HYPERLINK("https://cao.dolgi.msk.ru/account/1060313847/", 1060313847)</f>
        <v>1060313847</v>
      </c>
      <c r="E2325" s="3">
        <v>45215.44</v>
      </c>
    </row>
    <row r="2326" spans="1:5" x14ac:dyDescent="0.25">
      <c r="A2326" s="3" t="s">
        <v>5</v>
      </c>
      <c r="B2326" s="3" t="s">
        <v>674</v>
      </c>
      <c r="C2326" s="3" t="s">
        <v>18</v>
      </c>
      <c r="D2326" s="4">
        <f>HYPERLINK("https://cao.dolgi.msk.ru/account/1060314022/", 1060314022)</f>
        <v>1060314022</v>
      </c>
      <c r="E2326" s="3">
        <v>7925.54</v>
      </c>
    </row>
    <row r="2327" spans="1:5" x14ac:dyDescent="0.25">
      <c r="A2327" s="3" t="s">
        <v>5</v>
      </c>
      <c r="B2327" s="3" t="s">
        <v>674</v>
      </c>
      <c r="C2327" s="3" t="s">
        <v>25</v>
      </c>
      <c r="D2327" s="4">
        <f>HYPERLINK("https://cao.dolgi.msk.ru/account/1060314129/", 1060314129)</f>
        <v>1060314129</v>
      </c>
      <c r="E2327" s="3">
        <v>241028.58</v>
      </c>
    </row>
    <row r="2328" spans="1:5" x14ac:dyDescent="0.25">
      <c r="A2328" s="3" t="s">
        <v>5</v>
      </c>
      <c r="B2328" s="3" t="s">
        <v>674</v>
      </c>
      <c r="C2328" s="3" t="s">
        <v>35</v>
      </c>
      <c r="D2328" s="4">
        <f>HYPERLINK("https://cao.dolgi.msk.ru/account/1060314225/", 1060314225)</f>
        <v>1060314225</v>
      </c>
      <c r="E2328" s="3">
        <v>5975.68</v>
      </c>
    </row>
    <row r="2329" spans="1:5" x14ac:dyDescent="0.25">
      <c r="A2329" s="3" t="s">
        <v>5</v>
      </c>
      <c r="B2329" s="3" t="s">
        <v>674</v>
      </c>
      <c r="C2329" s="3" t="s">
        <v>36</v>
      </c>
      <c r="D2329" s="4">
        <f>HYPERLINK("https://cao.dolgi.msk.ru/account/1060314233/", 1060314233)</f>
        <v>1060314233</v>
      </c>
      <c r="E2329" s="3">
        <v>14407.94</v>
      </c>
    </row>
    <row r="2330" spans="1:5" x14ac:dyDescent="0.25">
      <c r="A2330" s="3" t="s">
        <v>5</v>
      </c>
      <c r="B2330" s="3" t="s">
        <v>674</v>
      </c>
      <c r="C2330" s="3" t="s">
        <v>44</v>
      </c>
      <c r="D2330" s="4">
        <f>HYPERLINK("https://cao.dolgi.msk.ru/account/1060314321/", 1060314321)</f>
        <v>1060314321</v>
      </c>
      <c r="E2330" s="3">
        <v>11681.85</v>
      </c>
    </row>
    <row r="2331" spans="1:5" x14ac:dyDescent="0.25">
      <c r="A2331" s="3" t="s">
        <v>5</v>
      </c>
      <c r="B2331" s="3" t="s">
        <v>675</v>
      </c>
      <c r="C2331" s="3" t="s">
        <v>51</v>
      </c>
      <c r="D2331" s="4">
        <f>HYPERLINK("https://cao.dolgi.msk.ru/account/1060774651/", 1060774651)</f>
        <v>1060774651</v>
      </c>
      <c r="E2331" s="3">
        <v>32874.03</v>
      </c>
    </row>
    <row r="2332" spans="1:5" x14ac:dyDescent="0.25">
      <c r="A2332" s="3" t="s">
        <v>5</v>
      </c>
      <c r="B2332" s="3" t="s">
        <v>675</v>
      </c>
      <c r="C2332" s="3" t="s">
        <v>30</v>
      </c>
      <c r="D2332" s="4">
        <f>HYPERLINK("https://cao.dolgi.msk.ru/account/1060774686/", 1060774686)</f>
        <v>1060774686</v>
      </c>
      <c r="E2332" s="3">
        <v>11101.22</v>
      </c>
    </row>
    <row r="2333" spans="1:5" x14ac:dyDescent="0.25">
      <c r="A2333" s="3" t="s">
        <v>5</v>
      </c>
      <c r="B2333" s="3" t="s">
        <v>675</v>
      </c>
      <c r="C2333" s="3" t="s">
        <v>139</v>
      </c>
      <c r="D2333" s="4">
        <f>HYPERLINK("https://cao.dolgi.msk.ru/account/1060818204/", 1060818204)</f>
        <v>1060818204</v>
      </c>
      <c r="E2333" s="3">
        <v>10819.48</v>
      </c>
    </row>
    <row r="2334" spans="1:5" x14ac:dyDescent="0.25">
      <c r="A2334" s="3" t="s">
        <v>5</v>
      </c>
      <c r="B2334" s="3" t="s">
        <v>675</v>
      </c>
      <c r="C2334" s="3" t="s">
        <v>7</v>
      </c>
      <c r="D2334" s="4">
        <f>HYPERLINK("https://cao.dolgi.msk.ru/account/1060774918/", 1060774918)</f>
        <v>1060774918</v>
      </c>
      <c r="E2334" s="3">
        <v>227347.6</v>
      </c>
    </row>
    <row r="2335" spans="1:5" x14ac:dyDescent="0.25">
      <c r="A2335" s="3" t="s">
        <v>5</v>
      </c>
      <c r="B2335" s="3" t="s">
        <v>675</v>
      </c>
      <c r="C2335" s="3" t="s">
        <v>36</v>
      </c>
      <c r="D2335" s="4">
        <f>HYPERLINK("https://cao.dolgi.msk.ru/account/1060775224/", 1060775224)</f>
        <v>1060775224</v>
      </c>
      <c r="E2335" s="3">
        <v>10222.959999999999</v>
      </c>
    </row>
    <row r="2336" spans="1:5" x14ac:dyDescent="0.25">
      <c r="A2336" s="3" t="s">
        <v>5</v>
      </c>
      <c r="B2336" s="3" t="s">
        <v>675</v>
      </c>
      <c r="C2336" s="3" t="s">
        <v>49</v>
      </c>
      <c r="D2336" s="4">
        <f>HYPERLINK("https://cao.dolgi.msk.ru/account/1060775363/", 1060775363)</f>
        <v>1060775363</v>
      </c>
      <c r="E2336" s="3">
        <v>29028.33</v>
      </c>
    </row>
    <row r="2337" spans="1:5" x14ac:dyDescent="0.25">
      <c r="A2337" s="3" t="s">
        <v>5</v>
      </c>
      <c r="B2337" s="3" t="s">
        <v>675</v>
      </c>
      <c r="C2337" s="3" t="s">
        <v>59</v>
      </c>
      <c r="D2337" s="4">
        <f>HYPERLINK("https://cao.dolgi.msk.ru/account/1060775494/", 1060775494)</f>
        <v>1060775494</v>
      </c>
      <c r="E2337" s="3">
        <v>66691.64</v>
      </c>
    </row>
    <row r="2338" spans="1:5" x14ac:dyDescent="0.25">
      <c r="A2338" s="3" t="s">
        <v>5</v>
      </c>
      <c r="B2338" s="3" t="s">
        <v>675</v>
      </c>
      <c r="C2338" s="3" t="s">
        <v>61</v>
      </c>
      <c r="D2338" s="4">
        <f>HYPERLINK("https://cao.dolgi.msk.ru/account/1060775515/", 1060775515)</f>
        <v>1060775515</v>
      </c>
      <c r="E2338" s="3">
        <v>152451.73000000001</v>
      </c>
    </row>
    <row r="2339" spans="1:5" x14ac:dyDescent="0.25">
      <c r="A2339" s="3" t="s">
        <v>5</v>
      </c>
      <c r="B2339" s="3" t="s">
        <v>676</v>
      </c>
      <c r="C2339" s="3" t="s">
        <v>130</v>
      </c>
      <c r="D2339" s="4">
        <f>HYPERLINK("https://cao.dolgi.msk.ru/account/1060776083/", 1060776083)</f>
        <v>1060776083</v>
      </c>
      <c r="E2339" s="3">
        <v>17894.990000000002</v>
      </c>
    </row>
    <row r="2340" spans="1:5" x14ac:dyDescent="0.25">
      <c r="A2340" s="3" t="s">
        <v>5</v>
      </c>
      <c r="B2340" s="3" t="s">
        <v>676</v>
      </c>
      <c r="C2340" s="3" t="s">
        <v>132</v>
      </c>
      <c r="D2340" s="4">
        <f>HYPERLINK("https://cao.dolgi.msk.ru/account/1060776147/", 1060776147)</f>
        <v>1060776147</v>
      </c>
      <c r="E2340" s="3">
        <v>15348.84</v>
      </c>
    </row>
    <row r="2341" spans="1:5" x14ac:dyDescent="0.25">
      <c r="A2341" s="3" t="s">
        <v>5</v>
      </c>
      <c r="B2341" s="3" t="s">
        <v>676</v>
      </c>
      <c r="C2341" s="3" t="s">
        <v>135</v>
      </c>
      <c r="D2341" s="4">
        <f>HYPERLINK("https://cao.dolgi.msk.ru/account/1060776171/", 1060776171)</f>
        <v>1060776171</v>
      </c>
      <c r="E2341" s="3">
        <v>12261.21</v>
      </c>
    </row>
    <row r="2342" spans="1:5" x14ac:dyDescent="0.25">
      <c r="A2342" s="3" t="s">
        <v>5</v>
      </c>
      <c r="B2342" s="3" t="s">
        <v>676</v>
      </c>
      <c r="C2342" s="3" t="s">
        <v>139</v>
      </c>
      <c r="D2342" s="4">
        <f>HYPERLINK("https://cao.dolgi.msk.ru/account/1060870766/", 1060870766)</f>
        <v>1060870766</v>
      </c>
      <c r="E2342" s="3">
        <v>28057.69</v>
      </c>
    </row>
    <row r="2343" spans="1:5" x14ac:dyDescent="0.25">
      <c r="A2343" s="3" t="s">
        <v>5</v>
      </c>
      <c r="B2343" s="3" t="s">
        <v>676</v>
      </c>
      <c r="C2343" s="3" t="s">
        <v>139</v>
      </c>
      <c r="D2343" s="4">
        <f>HYPERLINK("https://cao.dolgi.msk.ru/account/1060870782/", 1060870782)</f>
        <v>1060870782</v>
      </c>
      <c r="E2343" s="3">
        <v>31960</v>
      </c>
    </row>
    <row r="2344" spans="1:5" x14ac:dyDescent="0.25">
      <c r="A2344" s="3" t="s">
        <v>5</v>
      </c>
      <c r="B2344" s="3" t="s">
        <v>676</v>
      </c>
      <c r="C2344" s="3" t="s">
        <v>141</v>
      </c>
      <c r="D2344" s="4">
        <f>HYPERLINK("https://cao.dolgi.msk.ru/account/1060776251/", 1060776251)</f>
        <v>1060776251</v>
      </c>
      <c r="E2344" s="3">
        <v>38721.18</v>
      </c>
    </row>
    <row r="2345" spans="1:5" x14ac:dyDescent="0.25">
      <c r="A2345" s="3" t="s">
        <v>5</v>
      </c>
      <c r="B2345" s="3" t="s">
        <v>676</v>
      </c>
      <c r="C2345" s="3" t="s">
        <v>20</v>
      </c>
      <c r="D2345" s="4">
        <f>HYPERLINK("https://cao.dolgi.msk.ru/account/1069115652/", 1069115652)</f>
        <v>1069115652</v>
      </c>
      <c r="E2345" s="3">
        <v>13165.41</v>
      </c>
    </row>
    <row r="2346" spans="1:5" x14ac:dyDescent="0.25">
      <c r="A2346" s="3" t="s">
        <v>5</v>
      </c>
      <c r="B2346" s="3" t="s">
        <v>676</v>
      </c>
      <c r="C2346" s="3" t="s">
        <v>29</v>
      </c>
      <c r="D2346" s="4">
        <f>HYPERLINK("https://cao.dolgi.msk.ru/account/1069108698/", 1069108698)</f>
        <v>1069108698</v>
      </c>
      <c r="E2346" s="3">
        <v>5526.72</v>
      </c>
    </row>
    <row r="2347" spans="1:5" x14ac:dyDescent="0.25">
      <c r="A2347" s="3" t="s">
        <v>5</v>
      </c>
      <c r="B2347" s="3" t="s">
        <v>676</v>
      </c>
      <c r="C2347" s="3" t="s">
        <v>31</v>
      </c>
      <c r="D2347" s="4">
        <f>HYPERLINK("https://cao.dolgi.msk.ru/account/1060777174/", 1060777174)</f>
        <v>1060777174</v>
      </c>
      <c r="E2347" s="3">
        <v>6614.77</v>
      </c>
    </row>
    <row r="2348" spans="1:5" x14ac:dyDescent="0.25">
      <c r="A2348" s="3" t="s">
        <v>5</v>
      </c>
      <c r="B2348" s="3" t="s">
        <v>676</v>
      </c>
      <c r="C2348" s="3" t="s">
        <v>41</v>
      </c>
      <c r="D2348" s="4">
        <f>HYPERLINK("https://cao.dolgi.msk.ru/account/1060776622/", 1060776622)</f>
        <v>1060776622</v>
      </c>
      <c r="E2348" s="3">
        <v>17118.23</v>
      </c>
    </row>
    <row r="2349" spans="1:5" x14ac:dyDescent="0.25">
      <c r="A2349" s="3" t="s">
        <v>5</v>
      </c>
      <c r="B2349" s="3" t="s">
        <v>676</v>
      </c>
      <c r="C2349" s="3" t="s">
        <v>59</v>
      </c>
      <c r="D2349" s="4">
        <f>HYPERLINK("https://cao.dolgi.msk.ru/account/1060776833/", 1060776833)</f>
        <v>1060776833</v>
      </c>
      <c r="E2349" s="3">
        <v>166570.93</v>
      </c>
    </row>
    <row r="2350" spans="1:5" x14ac:dyDescent="0.25">
      <c r="A2350" s="3" t="s">
        <v>5</v>
      </c>
      <c r="B2350" s="3" t="s">
        <v>676</v>
      </c>
      <c r="C2350" s="3" t="s">
        <v>59</v>
      </c>
      <c r="D2350" s="4">
        <f>HYPERLINK("https://cao.dolgi.msk.ru/account/1060881043/", 1060881043)</f>
        <v>1060881043</v>
      </c>
      <c r="E2350" s="3">
        <v>23888.89</v>
      </c>
    </row>
    <row r="2351" spans="1:5" x14ac:dyDescent="0.25">
      <c r="A2351" s="3" t="s">
        <v>5</v>
      </c>
      <c r="B2351" s="3" t="s">
        <v>676</v>
      </c>
      <c r="C2351" s="3" t="s">
        <v>60</v>
      </c>
      <c r="D2351" s="4">
        <f>HYPERLINK("https://cao.dolgi.msk.ru/account/1060776841/", 1060776841)</f>
        <v>1060776841</v>
      </c>
      <c r="E2351" s="3">
        <v>30165.23</v>
      </c>
    </row>
    <row r="2352" spans="1:5" x14ac:dyDescent="0.25">
      <c r="A2352" s="3" t="s">
        <v>5</v>
      </c>
      <c r="B2352" s="3" t="s">
        <v>677</v>
      </c>
      <c r="C2352" s="3" t="s">
        <v>131</v>
      </c>
      <c r="D2352" s="4">
        <f>HYPERLINK("https://cao.dolgi.msk.ru/account/1060777035/", 1060777035)</f>
        <v>1060777035</v>
      </c>
      <c r="E2352" s="3">
        <v>140352.48000000001</v>
      </c>
    </row>
    <row r="2353" spans="1:5" x14ac:dyDescent="0.25">
      <c r="A2353" s="3" t="s">
        <v>5</v>
      </c>
      <c r="B2353" s="3" t="s">
        <v>677</v>
      </c>
      <c r="C2353" s="3" t="s">
        <v>142</v>
      </c>
      <c r="D2353" s="4">
        <f>HYPERLINK("https://cao.dolgi.msk.ru/account/1060777297/", 1060777297)</f>
        <v>1060777297</v>
      </c>
      <c r="E2353" s="3">
        <v>234986.7</v>
      </c>
    </row>
    <row r="2354" spans="1:5" x14ac:dyDescent="0.25">
      <c r="A2354" s="3" t="s">
        <v>5</v>
      </c>
      <c r="B2354" s="3" t="s">
        <v>677</v>
      </c>
      <c r="C2354" s="3" t="s">
        <v>23</v>
      </c>
      <c r="D2354" s="4">
        <f>HYPERLINK("https://cao.dolgi.msk.ru/account/1060777481/", 1060777481)</f>
        <v>1060777481</v>
      </c>
      <c r="E2354" s="3">
        <v>31868.71</v>
      </c>
    </row>
    <row r="2355" spans="1:5" x14ac:dyDescent="0.25">
      <c r="A2355" s="3" t="s">
        <v>5</v>
      </c>
      <c r="B2355" s="3" t="s">
        <v>677</v>
      </c>
      <c r="C2355" s="3" t="s">
        <v>24</v>
      </c>
      <c r="D2355" s="4">
        <f>HYPERLINK("https://cao.dolgi.msk.ru/account/1060777502/", 1060777502)</f>
        <v>1060777502</v>
      </c>
      <c r="E2355" s="3">
        <v>15304.88</v>
      </c>
    </row>
    <row r="2356" spans="1:5" x14ac:dyDescent="0.25">
      <c r="A2356" s="3" t="s">
        <v>5</v>
      </c>
      <c r="B2356" s="3" t="s">
        <v>677</v>
      </c>
      <c r="C2356" s="3" t="s">
        <v>28</v>
      </c>
      <c r="D2356" s="4">
        <f>HYPERLINK("https://cao.dolgi.msk.ru/account/1060777553/", 1060777553)</f>
        <v>1060777553</v>
      </c>
      <c r="E2356" s="3">
        <v>11782.21</v>
      </c>
    </row>
    <row r="2357" spans="1:5" x14ac:dyDescent="0.25">
      <c r="A2357" s="3" t="s">
        <v>5</v>
      </c>
      <c r="B2357" s="3" t="s">
        <v>677</v>
      </c>
      <c r="C2357" s="3" t="s">
        <v>32</v>
      </c>
      <c r="D2357" s="4">
        <f>HYPERLINK("https://cao.dolgi.msk.ru/account/1060777596/", 1060777596)</f>
        <v>1060777596</v>
      </c>
      <c r="E2357" s="3">
        <v>6400.99</v>
      </c>
    </row>
    <row r="2358" spans="1:5" x14ac:dyDescent="0.25">
      <c r="A2358" s="3" t="s">
        <v>5</v>
      </c>
      <c r="B2358" s="3" t="s">
        <v>677</v>
      </c>
      <c r="C2358" s="3" t="s">
        <v>50</v>
      </c>
      <c r="D2358" s="4">
        <f>HYPERLINK("https://cao.dolgi.msk.ru/account/1060777908/", 1060777908)</f>
        <v>1060777908</v>
      </c>
      <c r="E2358" s="3">
        <v>8651.26</v>
      </c>
    </row>
    <row r="2359" spans="1:5" x14ac:dyDescent="0.25">
      <c r="A2359" s="3" t="s">
        <v>5</v>
      </c>
      <c r="B2359" s="3" t="s">
        <v>678</v>
      </c>
      <c r="C2359" s="3" t="s">
        <v>130</v>
      </c>
      <c r="D2359" s="4">
        <f>HYPERLINK("https://cao.dolgi.msk.ru/account/1060025407/", 1060025407)</f>
        <v>1060025407</v>
      </c>
      <c r="E2359" s="3">
        <v>95877.38</v>
      </c>
    </row>
    <row r="2360" spans="1:5" x14ac:dyDescent="0.25">
      <c r="A2360" s="3" t="s">
        <v>5</v>
      </c>
      <c r="B2360" s="3" t="s">
        <v>678</v>
      </c>
      <c r="C2360" s="3" t="s">
        <v>131</v>
      </c>
      <c r="D2360" s="4">
        <f>HYPERLINK("https://cao.dolgi.msk.ru/account/1060025415/", 1060025415)</f>
        <v>1060025415</v>
      </c>
      <c r="E2360" s="3">
        <v>11739.67</v>
      </c>
    </row>
    <row r="2361" spans="1:5" x14ac:dyDescent="0.25">
      <c r="A2361" s="3" t="s">
        <v>5</v>
      </c>
      <c r="B2361" s="3" t="s">
        <v>678</v>
      </c>
      <c r="C2361" s="3" t="s">
        <v>89</v>
      </c>
      <c r="D2361" s="4">
        <f>HYPERLINK("https://cao.dolgi.msk.ru/account/1060025431/", 1060025431)</f>
        <v>1060025431</v>
      </c>
      <c r="E2361" s="3">
        <v>29245.48</v>
      </c>
    </row>
    <row r="2362" spans="1:5" x14ac:dyDescent="0.25">
      <c r="A2362" s="3" t="s">
        <v>5</v>
      </c>
      <c r="B2362" s="3" t="s">
        <v>678</v>
      </c>
      <c r="C2362" s="3" t="s">
        <v>132</v>
      </c>
      <c r="D2362" s="4">
        <f>HYPERLINK("https://cao.dolgi.msk.ru/account/1060025466/", 1060025466)</f>
        <v>1060025466</v>
      </c>
      <c r="E2362" s="3">
        <v>27081.25</v>
      </c>
    </row>
    <row r="2363" spans="1:5" x14ac:dyDescent="0.25">
      <c r="A2363" s="3" t="s">
        <v>5</v>
      </c>
      <c r="B2363" s="3" t="s">
        <v>678</v>
      </c>
      <c r="C2363" s="3" t="s">
        <v>14</v>
      </c>
      <c r="D2363" s="4">
        <f>HYPERLINK("https://cao.dolgi.msk.ru/account/1060025765/", 1060025765)</f>
        <v>1060025765</v>
      </c>
      <c r="E2363" s="3">
        <v>123389.2</v>
      </c>
    </row>
    <row r="2364" spans="1:5" x14ac:dyDescent="0.25">
      <c r="A2364" s="3" t="s">
        <v>5</v>
      </c>
      <c r="B2364" s="3" t="s">
        <v>678</v>
      </c>
      <c r="C2364" s="3" t="s">
        <v>15</v>
      </c>
      <c r="D2364" s="4">
        <f>HYPERLINK("https://cao.dolgi.msk.ru/account/1060025773/", 1060025773)</f>
        <v>1060025773</v>
      </c>
      <c r="E2364" s="3">
        <v>18671.12</v>
      </c>
    </row>
    <row r="2365" spans="1:5" x14ac:dyDescent="0.25">
      <c r="A2365" s="3" t="s">
        <v>5</v>
      </c>
      <c r="B2365" s="3" t="s">
        <v>678</v>
      </c>
      <c r="C2365" s="3" t="s">
        <v>23</v>
      </c>
      <c r="D2365" s="4">
        <f>HYPERLINK("https://cao.dolgi.msk.ru/account/1060025896/", 1060025896)</f>
        <v>1060025896</v>
      </c>
      <c r="E2365" s="3">
        <v>31284.91</v>
      </c>
    </row>
    <row r="2366" spans="1:5" x14ac:dyDescent="0.25">
      <c r="A2366" s="3" t="s">
        <v>5</v>
      </c>
      <c r="B2366" s="3" t="s">
        <v>678</v>
      </c>
      <c r="C2366" s="3" t="s">
        <v>24</v>
      </c>
      <c r="D2366" s="4">
        <f>HYPERLINK("https://cao.dolgi.msk.ru/account/1060025909/", 1060025909)</f>
        <v>1060025909</v>
      </c>
      <c r="E2366" s="3">
        <v>20047.7</v>
      </c>
    </row>
    <row r="2367" spans="1:5" x14ac:dyDescent="0.25">
      <c r="A2367" s="3" t="s">
        <v>5</v>
      </c>
      <c r="B2367" s="3" t="s">
        <v>678</v>
      </c>
      <c r="C2367" s="3" t="s">
        <v>27</v>
      </c>
      <c r="D2367" s="4">
        <f>HYPERLINK("https://cao.dolgi.msk.ru/account/1060025933/", 1060025933)</f>
        <v>1060025933</v>
      </c>
      <c r="E2367" s="3">
        <v>41712.69</v>
      </c>
    </row>
    <row r="2368" spans="1:5" x14ac:dyDescent="0.25">
      <c r="A2368" s="3" t="s">
        <v>5</v>
      </c>
      <c r="B2368" s="3" t="s">
        <v>678</v>
      </c>
      <c r="C2368" s="3" t="s">
        <v>44</v>
      </c>
      <c r="D2368" s="4">
        <f>HYPERLINK("https://cao.dolgi.msk.ru/account/1060026135/", 1060026135)</f>
        <v>1060026135</v>
      </c>
      <c r="E2368" s="3">
        <v>10173.91</v>
      </c>
    </row>
    <row r="2369" spans="1:5" x14ac:dyDescent="0.25">
      <c r="A2369" s="3" t="s">
        <v>5</v>
      </c>
      <c r="B2369" s="3" t="s">
        <v>678</v>
      </c>
      <c r="C2369" s="3" t="s">
        <v>679</v>
      </c>
      <c r="D2369" s="4">
        <f>HYPERLINK("https://cao.dolgi.msk.ru/account/1060026266/", 1060026266)</f>
        <v>1060026266</v>
      </c>
      <c r="E2369" s="3">
        <v>5869.77</v>
      </c>
    </row>
    <row r="2370" spans="1:5" x14ac:dyDescent="0.25">
      <c r="A2370" s="3" t="s">
        <v>5</v>
      </c>
      <c r="B2370" s="3" t="s">
        <v>678</v>
      </c>
      <c r="C2370" s="3" t="s">
        <v>56</v>
      </c>
      <c r="D2370" s="4">
        <f>HYPERLINK("https://cao.dolgi.msk.ru/account/1060026274/", 1060026274)</f>
        <v>1060026274</v>
      </c>
      <c r="E2370" s="3">
        <v>95730.66</v>
      </c>
    </row>
    <row r="2371" spans="1:5" x14ac:dyDescent="0.25">
      <c r="A2371" s="3" t="s">
        <v>5</v>
      </c>
      <c r="B2371" s="3" t="s">
        <v>678</v>
      </c>
      <c r="C2371" s="3" t="s">
        <v>58</v>
      </c>
      <c r="D2371" s="4">
        <f>HYPERLINK("https://cao.dolgi.msk.ru/account/1060026303/", 1060026303)</f>
        <v>1060026303</v>
      </c>
      <c r="E2371" s="3">
        <v>2986.07</v>
      </c>
    </row>
    <row r="2372" spans="1:5" x14ac:dyDescent="0.25">
      <c r="A2372" s="3" t="s">
        <v>5</v>
      </c>
      <c r="B2372" s="3" t="s">
        <v>678</v>
      </c>
      <c r="C2372" s="3" t="s">
        <v>84</v>
      </c>
      <c r="D2372" s="4">
        <f>HYPERLINK("https://cao.dolgi.msk.ru/account/1060026645/", 1060026645)</f>
        <v>1060026645</v>
      </c>
      <c r="E2372" s="3">
        <v>219427.6</v>
      </c>
    </row>
    <row r="2373" spans="1:5" x14ac:dyDescent="0.25">
      <c r="A2373" s="3" t="s">
        <v>5</v>
      </c>
      <c r="B2373" s="3" t="s">
        <v>678</v>
      </c>
      <c r="C2373" s="3" t="s">
        <v>92</v>
      </c>
      <c r="D2373" s="4">
        <f>HYPERLINK("https://cao.dolgi.msk.ru/account/1060026741/", 1060026741)</f>
        <v>1060026741</v>
      </c>
      <c r="E2373" s="3">
        <v>23540.36</v>
      </c>
    </row>
    <row r="2374" spans="1:5" x14ac:dyDescent="0.25">
      <c r="A2374" s="3" t="s">
        <v>5</v>
      </c>
      <c r="B2374" s="3" t="s">
        <v>678</v>
      </c>
      <c r="C2374" s="3" t="s">
        <v>93</v>
      </c>
      <c r="D2374" s="4">
        <f>HYPERLINK("https://cao.dolgi.msk.ru/account/1060026776/", 1060026776)</f>
        <v>1060026776</v>
      </c>
      <c r="E2374" s="3">
        <v>20870.14</v>
      </c>
    </row>
    <row r="2375" spans="1:5" x14ac:dyDescent="0.25">
      <c r="A2375" s="3" t="s">
        <v>5</v>
      </c>
      <c r="B2375" s="3" t="s">
        <v>678</v>
      </c>
      <c r="C2375" s="3" t="s">
        <v>99</v>
      </c>
      <c r="D2375" s="4">
        <f>HYPERLINK("https://cao.dolgi.msk.ru/account/1060026848/", 1060026848)</f>
        <v>1060026848</v>
      </c>
      <c r="E2375" s="3">
        <v>84329.32</v>
      </c>
    </row>
    <row r="2376" spans="1:5" x14ac:dyDescent="0.25">
      <c r="A2376" s="3" t="s">
        <v>5</v>
      </c>
      <c r="B2376" s="3" t="s">
        <v>678</v>
      </c>
      <c r="C2376" s="3" t="s">
        <v>103</v>
      </c>
      <c r="D2376" s="4">
        <f>HYPERLINK("https://cao.dolgi.msk.ru/account/1060026899/", 1060026899)</f>
        <v>1060026899</v>
      </c>
      <c r="E2376" s="3">
        <v>407890.24</v>
      </c>
    </row>
    <row r="2377" spans="1:5" x14ac:dyDescent="0.25">
      <c r="A2377" s="3" t="s">
        <v>5</v>
      </c>
      <c r="B2377" s="3" t="s">
        <v>678</v>
      </c>
      <c r="C2377" s="3" t="s">
        <v>146</v>
      </c>
      <c r="D2377" s="4">
        <f>HYPERLINK("https://cao.dolgi.msk.ru/account/1060026928/", 1060026928)</f>
        <v>1060026928</v>
      </c>
      <c r="E2377" s="3">
        <v>35374.79</v>
      </c>
    </row>
    <row r="2378" spans="1:5" x14ac:dyDescent="0.25">
      <c r="A2378" s="3" t="s">
        <v>5</v>
      </c>
      <c r="B2378" s="3" t="s">
        <v>680</v>
      </c>
      <c r="C2378" s="3" t="s">
        <v>51</v>
      </c>
      <c r="D2378" s="4">
        <f>HYPERLINK("https://cao.dolgi.msk.ru/account/1060027189/", 1060027189)</f>
        <v>1060027189</v>
      </c>
      <c r="E2378" s="3">
        <v>13180.28</v>
      </c>
    </row>
    <row r="2379" spans="1:5" x14ac:dyDescent="0.25">
      <c r="A2379" s="3" t="s">
        <v>5</v>
      </c>
      <c r="B2379" s="3" t="s">
        <v>680</v>
      </c>
      <c r="C2379" s="3" t="s">
        <v>28</v>
      </c>
      <c r="D2379" s="4">
        <f>HYPERLINK("https://cao.dolgi.msk.ru/account/1060027656/", 1060027656)</f>
        <v>1060027656</v>
      </c>
      <c r="E2379" s="3">
        <v>16624.3</v>
      </c>
    </row>
    <row r="2380" spans="1:5" x14ac:dyDescent="0.25">
      <c r="A2380" s="3" t="s">
        <v>5</v>
      </c>
      <c r="B2380" s="3" t="s">
        <v>680</v>
      </c>
      <c r="C2380" s="3" t="s">
        <v>36</v>
      </c>
      <c r="D2380" s="4">
        <f>HYPERLINK("https://cao.dolgi.msk.ru/account/1060027787/", 1060027787)</f>
        <v>1060027787</v>
      </c>
      <c r="E2380" s="3">
        <v>33713.370000000003</v>
      </c>
    </row>
    <row r="2381" spans="1:5" x14ac:dyDescent="0.25">
      <c r="A2381" s="3" t="s">
        <v>5</v>
      </c>
      <c r="B2381" s="3" t="s">
        <v>680</v>
      </c>
      <c r="C2381" s="3" t="s">
        <v>45</v>
      </c>
      <c r="D2381" s="4">
        <f>HYPERLINK("https://cao.dolgi.msk.ru/account/1060027883/", 1060027883)</f>
        <v>1060027883</v>
      </c>
      <c r="E2381" s="3">
        <v>334584.96999999997</v>
      </c>
    </row>
    <row r="2382" spans="1:5" x14ac:dyDescent="0.25">
      <c r="A2382" s="3" t="s">
        <v>5</v>
      </c>
      <c r="B2382" s="3" t="s">
        <v>680</v>
      </c>
      <c r="C2382" s="3" t="s">
        <v>50</v>
      </c>
      <c r="D2382" s="4">
        <f>HYPERLINK("https://cao.dolgi.msk.ru/account/1060027947/", 1060027947)</f>
        <v>1060027947</v>
      </c>
      <c r="E2382" s="3">
        <v>508533.81</v>
      </c>
    </row>
    <row r="2383" spans="1:5" x14ac:dyDescent="0.25">
      <c r="A2383" s="3" t="s">
        <v>5</v>
      </c>
      <c r="B2383" s="3" t="s">
        <v>680</v>
      </c>
      <c r="C2383" s="3" t="s">
        <v>60</v>
      </c>
      <c r="D2383" s="4">
        <f>HYPERLINK("https://cao.dolgi.msk.ru/account/1060028077/", 1060028077)</f>
        <v>1060028077</v>
      </c>
      <c r="E2383" s="3">
        <v>520317.07</v>
      </c>
    </row>
    <row r="2384" spans="1:5" x14ac:dyDescent="0.25">
      <c r="A2384" s="3" t="s">
        <v>5</v>
      </c>
      <c r="B2384" s="3" t="s">
        <v>680</v>
      </c>
      <c r="C2384" s="3" t="s">
        <v>62</v>
      </c>
      <c r="D2384" s="4">
        <f>HYPERLINK("https://cao.dolgi.msk.ru/account/1060028114/", 1060028114)</f>
        <v>1060028114</v>
      </c>
      <c r="E2384" s="3">
        <v>329381.95</v>
      </c>
    </row>
    <row r="2385" spans="1:5" x14ac:dyDescent="0.25">
      <c r="A2385" s="3" t="s">
        <v>5</v>
      </c>
      <c r="B2385" s="3" t="s">
        <v>680</v>
      </c>
      <c r="C2385" s="3" t="s">
        <v>63</v>
      </c>
      <c r="D2385" s="4">
        <f>HYPERLINK("https://cao.dolgi.msk.ru/account/1060028122/", 1060028122)</f>
        <v>1060028122</v>
      </c>
      <c r="E2385" s="3">
        <v>459404.79</v>
      </c>
    </row>
    <row r="2386" spans="1:5" x14ac:dyDescent="0.25">
      <c r="A2386" s="3" t="s">
        <v>5</v>
      </c>
      <c r="B2386" s="3" t="s">
        <v>680</v>
      </c>
      <c r="C2386" s="3" t="s">
        <v>144</v>
      </c>
      <c r="D2386" s="4">
        <f>HYPERLINK("https://cao.dolgi.msk.ru/account/1060028392/", 1060028392)</f>
        <v>1060028392</v>
      </c>
      <c r="E2386" s="3">
        <v>26880.47</v>
      </c>
    </row>
    <row r="2387" spans="1:5" x14ac:dyDescent="0.25">
      <c r="A2387" s="3" t="s">
        <v>5</v>
      </c>
      <c r="B2387" s="3" t="s">
        <v>680</v>
      </c>
      <c r="C2387" s="3" t="s">
        <v>90</v>
      </c>
      <c r="D2387" s="4">
        <f>HYPERLINK("https://cao.dolgi.msk.ru/account/1060028421/", 1060028421)</f>
        <v>1060028421</v>
      </c>
      <c r="E2387" s="3">
        <v>19853.79</v>
      </c>
    </row>
    <row r="2388" spans="1:5" x14ac:dyDescent="0.25">
      <c r="A2388" s="3" t="s">
        <v>5</v>
      </c>
      <c r="B2388" s="3" t="s">
        <v>680</v>
      </c>
      <c r="C2388" s="3" t="s">
        <v>94</v>
      </c>
      <c r="D2388" s="4">
        <f>HYPERLINK("https://cao.dolgi.msk.ru/account/1060028499/", 1060028499)</f>
        <v>1060028499</v>
      </c>
      <c r="E2388" s="3">
        <v>8313.08</v>
      </c>
    </row>
    <row r="2389" spans="1:5" x14ac:dyDescent="0.25">
      <c r="A2389" s="3" t="s">
        <v>5</v>
      </c>
      <c r="B2389" s="3" t="s">
        <v>680</v>
      </c>
      <c r="C2389" s="3" t="s">
        <v>99</v>
      </c>
      <c r="D2389" s="4">
        <f>HYPERLINK("https://cao.dolgi.msk.ru/account/1060028552/", 1060028552)</f>
        <v>1060028552</v>
      </c>
      <c r="E2389" s="3">
        <v>9366.14</v>
      </c>
    </row>
    <row r="2390" spans="1:5" x14ac:dyDescent="0.25">
      <c r="A2390" s="3" t="s">
        <v>5</v>
      </c>
      <c r="B2390" s="3" t="s">
        <v>680</v>
      </c>
      <c r="C2390" s="3" t="s">
        <v>107</v>
      </c>
      <c r="D2390" s="4">
        <f>HYPERLINK("https://cao.dolgi.msk.ru/account/1060028691/", 1060028691)</f>
        <v>1060028691</v>
      </c>
      <c r="E2390" s="3">
        <v>50684.51</v>
      </c>
    </row>
    <row r="2391" spans="1:5" x14ac:dyDescent="0.25">
      <c r="A2391" s="3" t="s">
        <v>5</v>
      </c>
      <c r="B2391" s="3" t="s">
        <v>680</v>
      </c>
      <c r="C2391" s="3" t="s">
        <v>151</v>
      </c>
      <c r="D2391" s="4">
        <f>HYPERLINK("https://cao.dolgi.msk.ru/account/1060028878/", 1060028878)</f>
        <v>1060028878</v>
      </c>
      <c r="E2391" s="3">
        <v>9624.67</v>
      </c>
    </row>
    <row r="2392" spans="1:5" x14ac:dyDescent="0.25">
      <c r="A2392" s="3" t="s">
        <v>5</v>
      </c>
      <c r="B2392" s="3" t="s">
        <v>680</v>
      </c>
      <c r="C2392" s="3" t="s">
        <v>166</v>
      </c>
      <c r="D2392" s="4">
        <f>HYPERLINK("https://cao.dolgi.msk.ru/account/1060029061/", 1060029061)</f>
        <v>1060029061</v>
      </c>
      <c r="E2392" s="3">
        <v>22963.08</v>
      </c>
    </row>
    <row r="2393" spans="1:5" x14ac:dyDescent="0.25">
      <c r="A2393" s="3" t="s">
        <v>5</v>
      </c>
      <c r="B2393" s="3" t="s">
        <v>680</v>
      </c>
      <c r="C2393" s="3" t="s">
        <v>177</v>
      </c>
      <c r="D2393" s="4">
        <f>HYPERLINK("https://cao.dolgi.msk.ru/account/1060029192/", 1060029192)</f>
        <v>1060029192</v>
      </c>
      <c r="E2393" s="3">
        <v>16124.58</v>
      </c>
    </row>
    <row r="2394" spans="1:5" x14ac:dyDescent="0.25">
      <c r="A2394" s="3" t="s">
        <v>5</v>
      </c>
      <c r="B2394" s="3" t="s">
        <v>681</v>
      </c>
      <c r="C2394" s="3" t="s">
        <v>130</v>
      </c>
      <c r="D2394" s="4">
        <f>HYPERLINK("https://cao.dolgi.msk.ru/account/1060029328/", 1060029328)</f>
        <v>1060029328</v>
      </c>
      <c r="E2394" s="3">
        <v>115244.27</v>
      </c>
    </row>
    <row r="2395" spans="1:5" x14ac:dyDescent="0.25">
      <c r="A2395" s="3" t="s">
        <v>5</v>
      </c>
      <c r="B2395" s="3" t="s">
        <v>681</v>
      </c>
      <c r="C2395" s="3" t="s">
        <v>9</v>
      </c>
      <c r="D2395" s="4">
        <f>HYPERLINK("https://cao.dolgi.msk.ru/account/1060029344/", 1060029344)</f>
        <v>1060029344</v>
      </c>
      <c r="E2395" s="3">
        <v>88600.68</v>
      </c>
    </row>
    <row r="2396" spans="1:5" x14ac:dyDescent="0.25">
      <c r="A2396" s="3" t="s">
        <v>5</v>
      </c>
      <c r="B2396" s="3" t="s">
        <v>681</v>
      </c>
      <c r="C2396" s="3" t="s">
        <v>45</v>
      </c>
      <c r="D2396" s="4">
        <f>HYPERLINK("https://cao.dolgi.msk.ru/account/1060029969/", 1060029969)</f>
        <v>1060029969</v>
      </c>
      <c r="E2396" s="3">
        <v>6592.87</v>
      </c>
    </row>
    <row r="2397" spans="1:5" x14ac:dyDescent="0.25">
      <c r="A2397" s="3" t="s">
        <v>5</v>
      </c>
      <c r="B2397" s="3" t="s">
        <v>681</v>
      </c>
      <c r="C2397" s="3" t="s">
        <v>48</v>
      </c>
      <c r="D2397" s="4">
        <f>HYPERLINK("https://cao.dolgi.msk.ru/account/1060029993/", 1060029993)</f>
        <v>1060029993</v>
      </c>
      <c r="E2397" s="3">
        <v>16527.84</v>
      </c>
    </row>
    <row r="2398" spans="1:5" x14ac:dyDescent="0.25">
      <c r="A2398" s="3" t="s">
        <v>5</v>
      </c>
      <c r="B2398" s="3" t="s">
        <v>681</v>
      </c>
      <c r="C2398" s="3" t="s">
        <v>50</v>
      </c>
      <c r="D2398" s="4">
        <f>HYPERLINK("https://cao.dolgi.msk.ru/account/1060030011/", 1060030011)</f>
        <v>1060030011</v>
      </c>
      <c r="E2398" s="3">
        <v>18081.349999999999</v>
      </c>
    </row>
    <row r="2399" spans="1:5" x14ac:dyDescent="0.25">
      <c r="A2399" s="3" t="s">
        <v>5</v>
      </c>
      <c r="B2399" s="3" t="s">
        <v>681</v>
      </c>
      <c r="C2399" s="3" t="s">
        <v>53</v>
      </c>
      <c r="D2399" s="4">
        <f>HYPERLINK("https://cao.dolgi.msk.ru/account/1060030046/", 1060030046)</f>
        <v>1060030046</v>
      </c>
      <c r="E2399" s="3">
        <v>11685.55</v>
      </c>
    </row>
    <row r="2400" spans="1:5" x14ac:dyDescent="0.25">
      <c r="A2400" s="3" t="s">
        <v>5</v>
      </c>
      <c r="B2400" s="3" t="s">
        <v>681</v>
      </c>
      <c r="C2400" s="3" t="s">
        <v>86</v>
      </c>
      <c r="D2400" s="4">
        <f>HYPERLINK("https://cao.dolgi.msk.ru/account/1060030396/", 1060030396)</f>
        <v>1060030396</v>
      </c>
      <c r="E2400" s="3">
        <v>5850.39</v>
      </c>
    </row>
    <row r="2401" spans="1:5" x14ac:dyDescent="0.25">
      <c r="A2401" s="3" t="s">
        <v>5</v>
      </c>
      <c r="B2401" s="3" t="s">
        <v>681</v>
      </c>
      <c r="C2401" s="3" t="s">
        <v>103</v>
      </c>
      <c r="D2401" s="4">
        <f>HYPERLINK("https://cao.dolgi.msk.ru/account/1060030599/", 1060030599)</f>
        <v>1060030599</v>
      </c>
      <c r="E2401" s="3">
        <v>38833.800000000003</v>
      </c>
    </row>
    <row r="2402" spans="1:5" x14ac:dyDescent="0.25">
      <c r="A2402" s="3" t="s">
        <v>5</v>
      </c>
      <c r="B2402" s="3" t="s">
        <v>681</v>
      </c>
      <c r="C2402" s="3" t="s">
        <v>147</v>
      </c>
      <c r="D2402" s="4">
        <f>HYPERLINK("https://cao.dolgi.msk.ru/account/1060030636/", 1060030636)</f>
        <v>1060030636</v>
      </c>
      <c r="E2402" s="3">
        <v>7197.32</v>
      </c>
    </row>
    <row r="2403" spans="1:5" x14ac:dyDescent="0.25">
      <c r="A2403" s="3" t="s">
        <v>5</v>
      </c>
      <c r="B2403" s="3" t="s">
        <v>681</v>
      </c>
      <c r="C2403" s="3" t="s">
        <v>111</v>
      </c>
      <c r="D2403" s="4">
        <f>HYPERLINK("https://cao.dolgi.msk.ru/account/1060030724/", 1060030724)</f>
        <v>1060030724</v>
      </c>
      <c r="E2403" s="3">
        <v>138883.99</v>
      </c>
    </row>
    <row r="2404" spans="1:5" x14ac:dyDescent="0.25">
      <c r="A2404" s="3" t="s">
        <v>5</v>
      </c>
      <c r="B2404" s="3" t="s">
        <v>681</v>
      </c>
      <c r="C2404" s="3" t="s">
        <v>192</v>
      </c>
      <c r="D2404" s="4">
        <f>HYPERLINK("https://cao.dolgi.msk.ru/account/1060031313/", 1060031313)</f>
        <v>1060031313</v>
      </c>
      <c r="E2404" s="3">
        <v>13512.26</v>
      </c>
    </row>
    <row r="2405" spans="1:5" x14ac:dyDescent="0.25">
      <c r="A2405" s="3" t="s">
        <v>5</v>
      </c>
      <c r="B2405" s="3" t="s">
        <v>681</v>
      </c>
      <c r="C2405" s="3" t="s">
        <v>194</v>
      </c>
      <c r="D2405" s="4">
        <f>HYPERLINK("https://cao.dolgi.msk.ru/account/1060031348/", 1060031348)</f>
        <v>1060031348</v>
      </c>
      <c r="E2405" s="3">
        <v>5629.26</v>
      </c>
    </row>
    <row r="2406" spans="1:5" x14ac:dyDescent="0.25">
      <c r="A2406" s="3" t="s">
        <v>5</v>
      </c>
      <c r="B2406" s="3" t="s">
        <v>681</v>
      </c>
      <c r="C2406" s="3" t="s">
        <v>200</v>
      </c>
      <c r="D2406" s="4">
        <f>HYPERLINK("https://cao.dolgi.msk.ru/account/1060031428/", 1060031428)</f>
        <v>1060031428</v>
      </c>
      <c r="E2406" s="3">
        <v>10130.23</v>
      </c>
    </row>
    <row r="2407" spans="1:5" x14ac:dyDescent="0.25">
      <c r="A2407" s="3" t="s">
        <v>5</v>
      </c>
      <c r="B2407" s="3" t="s">
        <v>682</v>
      </c>
      <c r="C2407" s="3" t="s">
        <v>30</v>
      </c>
      <c r="D2407" s="4">
        <f>HYPERLINK("https://cao.dolgi.msk.ru/account/1060117862/", 1060117862)</f>
        <v>1060117862</v>
      </c>
      <c r="E2407" s="3">
        <v>5065.76</v>
      </c>
    </row>
    <row r="2408" spans="1:5" x14ac:dyDescent="0.25">
      <c r="A2408" s="3" t="s">
        <v>5</v>
      </c>
      <c r="B2408" s="3" t="s">
        <v>682</v>
      </c>
      <c r="C2408" s="3" t="s">
        <v>138</v>
      </c>
      <c r="D2408" s="4">
        <f>HYPERLINK("https://cao.dolgi.msk.ru/account/1060118013/", 1060118013)</f>
        <v>1060118013</v>
      </c>
      <c r="E2408" s="3">
        <v>10494.75</v>
      </c>
    </row>
    <row r="2409" spans="1:5" x14ac:dyDescent="0.25">
      <c r="A2409" s="3" t="s">
        <v>5</v>
      </c>
      <c r="B2409" s="3" t="s">
        <v>682</v>
      </c>
      <c r="C2409" s="3" t="s">
        <v>142</v>
      </c>
      <c r="D2409" s="4">
        <f>HYPERLINK("https://cao.dolgi.msk.ru/account/1060118064/", 1060118064)</f>
        <v>1060118064</v>
      </c>
      <c r="E2409" s="3">
        <v>4745.1499999999996</v>
      </c>
    </row>
    <row r="2410" spans="1:5" x14ac:dyDescent="0.25">
      <c r="A2410" s="3" t="s">
        <v>5</v>
      </c>
      <c r="B2410" s="3" t="s">
        <v>682</v>
      </c>
      <c r="C2410" s="3" t="s">
        <v>20</v>
      </c>
      <c r="D2410" s="4">
        <f>HYPERLINK("https://cao.dolgi.msk.ru/account/1060118224/", 1060118224)</f>
        <v>1060118224</v>
      </c>
      <c r="E2410" s="3">
        <v>10255.42</v>
      </c>
    </row>
    <row r="2411" spans="1:5" x14ac:dyDescent="0.25">
      <c r="A2411" s="3" t="s">
        <v>5</v>
      </c>
      <c r="B2411" s="3" t="s">
        <v>682</v>
      </c>
      <c r="C2411" s="3" t="s">
        <v>21</v>
      </c>
      <c r="D2411" s="4">
        <f>HYPERLINK("https://cao.dolgi.msk.ru/account/1060118232/", 1060118232)</f>
        <v>1060118232</v>
      </c>
      <c r="E2411" s="3">
        <v>2908.41</v>
      </c>
    </row>
    <row r="2412" spans="1:5" x14ac:dyDescent="0.25">
      <c r="A2412" s="3" t="s">
        <v>5</v>
      </c>
      <c r="B2412" s="3" t="s">
        <v>682</v>
      </c>
      <c r="C2412" s="3" t="s">
        <v>23</v>
      </c>
      <c r="D2412" s="4">
        <f>HYPERLINK("https://cao.dolgi.msk.ru/account/1060118267/", 1060118267)</f>
        <v>1060118267</v>
      </c>
      <c r="E2412" s="3">
        <v>5868.09</v>
      </c>
    </row>
    <row r="2413" spans="1:5" x14ac:dyDescent="0.25">
      <c r="A2413" s="3" t="s">
        <v>5</v>
      </c>
      <c r="B2413" s="3" t="s">
        <v>682</v>
      </c>
      <c r="C2413" s="3" t="s">
        <v>24</v>
      </c>
      <c r="D2413" s="4">
        <f>HYPERLINK("https://cao.dolgi.msk.ru/account/1060118275/", 1060118275)</f>
        <v>1060118275</v>
      </c>
      <c r="E2413" s="3">
        <v>4291.6000000000004</v>
      </c>
    </row>
    <row r="2414" spans="1:5" x14ac:dyDescent="0.25">
      <c r="A2414" s="3" t="s">
        <v>5</v>
      </c>
      <c r="B2414" s="3" t="s">
        <v>682</v>
      </c>
      <c r="C2414" s="3" t="s">
        <v>27</v>
      </c>
      <c r="D2414" s="4">
        <f>HYPERLINK("https://cao.dolgi.msk.ru/account/1060118304/", 1060118304)</f>
        <v>1060118304</v>
      </c>
      <c r="E2414" s="3">
        <v>34558.769999999997</v>
      </c>
    </row>
    <row r="2415" spans="1:5" x14ac:dyDescent="0.25">
      <c r="A2415" s="3" t="s">
        <v>5</v>
      </c>
      <c r="B2415" s="3" t="s">
        <v>682</v>
      </c>
      <c r="C2415" s="3" t="s">
        <v>39</v>
      </c>
      <c r="D2415" s="4">
        <f>HYPERLINK("https://cao.dolgi.msk.ru/account/1060118443/", 1060118443)</f>
        <v>1060118443</v>
      </c>
      <c r="E2415" s="3">
        <v>441635.34</v>
      </c>
    </row>
    <row r="2416" spans="1:5" x14ac:dyDescent="0.25">
      <c r="A2416" s="3" t="s">
        <v>5</v>
      </c>
      <c r="B2416" s="3" t="s">
        <v>682</v>
      </c>
      <c r="C2416" s="3" t="s">
        <v>57</v>
      </c>
      <c r="D2416" s="4">
        <f>HYPERLINK("https://cao.dolgi.msk.ru/account/1060118654/", 1060118654)</f>
        <v>1060118654</v>
      </c>
      <c r="E2416" s="3">
        <v>8242.42</v>
      </c>
    </row>
    <row r="2417" spans="1:5" x14ac:dyDescent="0.25">
      <c r="A2417" s="3" t="s">
        <v>5</v>
      </c>
      <c r="B2417" s="3" t="s">
        <v>682</v>
      </c>
      <c r="C2417" s="3" t="s">
        <v>60</v>
      </c>
      <c r="D2417" s="4">
        <f>HYPERLINK("https://cao.dolgi.msk.ru/account/1060118697/", 1060118697)</f>
        <v>1060118697</v>
      </c>
      <c r="E2417" s="3">
        <v>24364.18</v>
      </c>
    </row>
    <row r="2418" spans="1:5" x14ac:dyDescent="0.25">
      <c r="A2418" s="3" t="s">
        <v>5</v>
      </c>
      <c r="B2418" s="3" t="s">
        <v>682</v>
      </c>
      <c r="C2418" s="3" t="s">
        <v>62</v>
      </c>
      <c r="D2418" s="4">
        <f>HYPERLINK("https://cao.dolgi.msk.ru/account/1060118726/", 1060118726)</f>
        <v>1060118726</v>
      </c>
      <c r="E2418" s="3">
        <v>6909.42</v>
      </c>
    </row>
    <row r="2419" spans="1:5" x14ac:dyDescent="0.25">
      <c r="A2419" s="3" t="s">
        <v>5</v>
      </c>
      <c r="B2419" s="3" t="s">
        <v>683</v>
      </c>
      <c r="C2419" s="3" t="s">
        <v>9</v>
      </c>
      <c r="D2419" s="4">
        <f>HYPERLINK("https://cao.dolgi.msk.ru/account/1060110855/", 1060110855)</f>
        <v>1060110855</v>
      </c>
      <c r="E2419" s="3">
        <v>22047.69</v>
      </c>
    </row>
    <row r="2420" spans="1:5" x14ac:dyDescent="0.25">
      <c r="A2420" s="3" t="s">
        <v>5</v>
      </c>
      <c r="B2420" s="3" t="s">
        <v>683</v>
      </c>
      <c r="C2420" s="3" t="s">
        <v>141</v>
      </c>
      <c r="D2420" s="4">
        <f>HYPERLINK("https://cao.dolgi.msk.ru/account/1060111006/", 1060111006)</f>
        <v>1060111006</v>
      </c>
      <c r="E2420" s="3">
        <v>56017.5</v>
      </c>
    </row>
    <row r="2421" spans="1:5" x14ac:dyDescent="0.25">
      <c r="A2421" s="3" t="s">
        <v>5</v>
      </c>
      <c r="B2421" s="3" t="s">
        <v>683</v>
      </c>
      <c r="C2421" s="3" t="s">
        <v>10</v>
      </c>
      <c r="D2421" s="4">
        <f>HYPERLINK("https://cao.dolgi.msk.ru/account/1060111057/", 1060111057)</f>
        <v>1060111057</v>
      </c>
      <c r="E2421" s="3">
        <v>38248.94</v>
      </c>
    </row>
    <row r="2422" spans="1:5" x14ac:dyDescent="0.25">
      <c r="A2422" s="3" t="s">
        <v>5</v>
      </c>
      <c r="B2422" s="3" t="s">
        <v>683</v>
      </c>
      <c r="C2422" s="3" t="s">
        <v>12</v>
      </c>
      <c r="D2422" s="4">
        <f>HYPERLINK("https://cao.dolgi.msk.ru/account/1060111073/", 1060111073)</f>
        <v>1060111073</v>
      </c>
      <c r="E2422" s="3">
        <v>11398.17</v>
      </c>
    </row>
    <row r="2423" spans="1:5" x14ac:dyDescent="0.25">
      <c r="A2423" s="3" t="s">
        <v>5</v>
      </c>
      <c r="B2423" s="3" t="s">
        <v>683</v>
      </c>
      <c r="C2423" s="3" t="s">
        <v>14</v>
      </c>
      <c r="D2423" s="4">
        <f>HYPERLINK("https://cao.dolgi.msk.ru/account/1060111102/", 1060111102)</f>
        <v>1060111102</v>
      </c>
      <c r="E2423" s="3">
        <v>11781.11</v>
      </c>
    </row>
    <row r="2424" spans="1:5" x14ac:dyDescent="0.25">
      <c r="A2424" s="3" t="s">
        <v>5</v>
      </c>
      <c r="B2424" s="3" t="s">
        <v>684</v>
      </c>
      <c r="C2424" s="3" t="s">
        <v>130</v>
      </c>
      <c r="D2424" s="4">
        <f>HYPERLINK("https://cao.dolgi.msk.ru/account/1060111153/", 1060111153)</f>
        <v>1060111153</v>
      </c>
      <c r="E2424" s="3">
        <v>17250.3</v>
      </c>
    </row>
    <row r="2425" spans="1:5" x14ac:dyDescent="0.25">
      <c r="A2425" s="3" t="s">
        <v>5</v>
      </c>
      <c r="B2425" s="3" t="s">
        <v>684</v>
      </c>
      <c r="C2425" s="3" t="s">
        <v>131</v>
      </c>
      <c r="D2425" s="4">
        <f>HYPERLINK("https://cao.dolgi.msk.ru/account/1060111161/", 1060111161)</f>
        <v>1060111161</v>
      </c>
      <c r="E2425" s="3">
        <v>13593.39</v>
      </c>
    </row>
    <row r="2426" spans="1:5" x14ac:dyDescent="0.25">
      <c r="A2426" s="3" t="s">
        <v>5</v>
      </c>
      <c r="B2426" s="3" t="s">
        <v>684</v>
      </c>
      <c r="C2426" s="3" t="s">
        <v>105</v>
      </c>
      <c r="D2426" s="4">
        <f>HYPERLINK("https://cao.dolgi.msk.ru/account/1060111209/", 1060111209)</f>
        <v>1060111209</v>
      </c>
      <c r="E2426" s="3">
        <v>8227.09</v>
      </c>
    </row>
    <row r="2427" spans="1:5" x14ac:dyDescent="0.25">
      <c r="A2427" s="3" t="s">
        <v>5</v>
      </c>
      <c r="B2427" s="3" t="s">
        <v>684</v>
      </c>
      <c r="C2427" s="3" t="s">
        <v>134</v>
      </c>
      <c r="D2427" s="4">
        <f>HYPERLINK("https://cao.dolgi.msk.ru/account/1060111233/", 1060111233)</f>
        <v>1060111233</v>
      </c>
      <c r="E2427" s="3">
        <v>3766.07</v>
      </c>
    </row>
    <row r="2428" spans="1:5" x14ac:dyDescent="0.25">
      <c r="A2428" s="3" t="s">
        <v>5</v>
      </c>
      <c r="B2428" s="3" t="s">
        <v>685</v>
      </c>
      <c r="C2428" s="3" t="s">
        <v>131</v>
      </c>
      <c r="D2428" s="4">
        <f>HYPERLINK("https://cao.dolgi.msk.ru/account/1060111452/", 1060111452)</f>
        <v>1060111452</v>
      </c>
      <c r="E2428" s="3">
        <v>19608.95</v>
      </c>
    </row>
    <row r="2429" spans="1:5" x14ac:dyDescent="0.25">
      <c r="A2429" s="3" t="s">
        <v>5</v>
      </c>
      <c r="B2429" s="3" t="s">
        <v>686</v>
      </c>
      <c r="C2429" s="3" t="s">
        <v>15</v>
      </c>
      <c r="D2429" s="4">
        <f>HYPERLINK("https://cao.dolgi.msk.ru/account/1060111532/", 1060111532)</f>
        <v>1060111532</v>
      </c>
      <c r="E2429" s="3">
        <v>19915.75</v>
      </c>
    </row>
    <row r="2430" spans="1:5" x14ac:dyDescent="0.25">
      <c r="A2430" s="3" t="s">
        <v>5</v>
      </c>
      <c r="B2430" s="3" t="s">
        <v>686</v>
      </c>
      <c r="C2430" s="3" t="s">
        <v>16</v>
      </c>
      <c r="D2430" s="4">
        <f>HYPERLINK("https://cao.dolgi.msk.ru/account/1060111559/", 1060111559)</f>
        <v>1060111559</v>
      </c>
      <c r="E2430" s="3">
        <v>20560.88</v>
      </c>
    </row>
    <row r="2431" spans="1:5" x14ac:dyDescent="0.25">
      <c r="A2431" s="3" t="s">
        <v>5</v>
      </c>
      <c r="B2431" s="3" t="s">
        <v>687</v>
      </c>
      <c r="C2431" s="3" t="s">
        <v>132</v>
      </c>
      <c r="D2431" s="4">
        <f>HYPERLINK("https://cao.dolgi.msk.ru/account/1060895576/", 1060895576)</f>
        <v>1060895576</v>
      </c>
      <c r="E2431" s="3">
        <v>16485.86</v>
      </c>
    </row>
    <row r="2432" spans="1:5" x14ac:dyDescent="0.25">
      <c r="A2432" s="3" t="s">
        <v>5</v>
      </c>
      <c r="B2432" s="3" t="s">
        <v>687</v>
      </c>
      <c r="C2432" s="3" t="s">
        <v>133</v>
      </c>
      <c r="D2432" s="4">
        <f>HYPERLINK("https://cao.dolgi.msk.ru/account/1060603991/", 1060603991)</f>
        <v>1060603991</v>
      </c>
      <c r="E2432" s="3">
        <v>510783.65</v>
      </c>
    </row>
    <row r="2433" spans="1:5" x14ac:dyDescent="0.25">
      <c r="A2433" s="3" t="s">
        <v>5</v>
      </c>
      <c r="B2433" s="3" t="s">
        <v>688</v>
      </c>
      <c r="C2433" s="3" t="s">
        <v>7</v>
      </c>
      <c r="D2433" s="4">
        <f>HYPERLINK("https://cao.dolgi.msk.ru/account/1060605241/", 1060605241)</f>
        <v>1060605241</v>
      </c>
      <c r="E2433" s="3">
        <v>7612.25</v>
      </c>
    </row>
    <row r="2434" spans="1:5" x14ac:dyDescent="0.25">
      <c r="A2434" s="3" t="s">
        <v>5</v>
      </c>
      <c r="B2434" s="3" t="s">
        <v>689</v>
      </c>
      <c r="C2434" s="3" t="s">
        <v>89</v>
      </c>
      <c r="D2434" s="4">
        <f>HYPERLINK("https://cao.dolgi.msk.ru/account/1060605444/", 1060605444)</f>
        <v>1060605444</v>
      </c>
      <c r="E2434" s="3">
        <v>18872.18</v>
      </c>
    </row>
    <row r="2435" spans="1:5" x14ac:dyDescent="0.25">
      <c r="A2435" s="3" t="s">
        <v>5</v>
      </c>
      <c r="B2435" s="3" t="s">
        <v>689</v>
      </c>
      <c r="C2435" s="3" t="s">
        <v>140</v>
      </c>
      <c r="D2435" s="4">
        <f>HYPERLINK("https://cao.dolgi.msk.ru/account/1060605575/", 1060605575)</f>
        <v>1060605575</v>
      </c>
      <c r="E2435" s="3">
        <v>36701.769999999997</v>
      </c>
    </row>
    <row r="2436" spans="1:5" x14ac:dyDescent="0.25">
      <c r="A2436" s="3" t="s">
        <v>5</v>
      </c>
      <c r="B2436" s="3" t="s">
        <v>689</v>
      </c>
      <c r="C2436" s="3" t="s">
        <v>14</v>
      </c>
      <c r="D2436" s="4">
        <f>HYPERLINK("https://cao.dolgi.msk.ru/account/1060605698/", 1060605698)</f>
        <v>1060605698</v>
      </c>
      <c r="E2436" s="3">
        <v>21604.05</v>
      </c>
    </row>
    <row r="2437" spans="1:5" x14ac:dyDescent="0.25">
      <c r="A2437" s="3" t="s">
        <v>5</v>
      </c>
      <c r="B2437" s="3" t="s">
        <v>689</v>
      </c>
      <c r="C2437" s="3" t="s">
        <v>20</v>
      </c>
      <c r="D2437" s="4">
        <f>HYPERLINK("https://cao.dolgi.msk.ru/account/1060605786/", 1060605786)</f>
        <v>1060605786</v>
      </c>
      <c r="E2437" s="3">
        <v>95132.05</v>
      </c>
    </row>
    <row r="2438" spans="1:5" x14ac:dyDescent="0.25">
      <c r="A2438" s="3" t="s">
        <v>5</v>
      </c>
      <c r="B2438" s="3" t="s">
        <v>690</v>
      </c>
      <c r="C2438" s="3" t="s">
        <v>131</v>
      </c>
      <c r="D2438" s="4">
        <f>HYPERLINK("https://cao.dolgi.msk.ru/account/1060604185/", 1060604185)</f>
        <v>1060604185</v>
      </c>
      <c r="E2438" s="3">
        <v>15123.6</v>
      </c>
    </row>
    <row r="2439" spans="1:5" x14ac:dyDescent="0.25">
      <c r="A2439" s="3" t="s">
        <v>5</v>
      </c>
      <c r="B2439" s="3" t="s">
        <v>690</v>
      </c>
      <c r="C2439" s="3" t="s">
        <v>131</v>
      </c>
      <c r="D2439" s="4">
        <f>HYPERLINK("https://cao.dolgi.msk.ru/account/1060890441/", 1060890441)</f>
        <v>1060890441</v>
      </c>
      <c r="E2439" s="3">
        <v>17731.490000000002</v>
      </c>
    </row>
    <row r="2440" spans="1:5" x14ac:dyDescent="0.25">
      <c r="A2440" s="3" t="s">
        <v>5</v>
      </c>
      <c r="B2440" s="3" t="s">
        <v>690</v>
      </c>
      <c r="C2440" s="3" t="s">
        <v>132</v>
      </c>
      <c r="D2440" s="4">
        <f>HYPERLINK("https://cao.dolgi.msk.ru/account/1060604396/", 1060604396)</f>
        <v>1060604396</v>
      </c>
      <c r="E2440" s="3">
        <v>10485.64</v>
      </c>
    </row>
    <row r="2441" spans="1:5" x14ac:dyDescent="0.25">
      <c r="A2441" s="3" t="s">
        <v>5</v>
      </c>
      <c r="B2441" s="3" t="s">
        <v>690</v>
      </c>
      <c r="C2441" s="3" t="s">
        <v>138</v>
      </c>
      <c r="D2441" s="4">
        <f>HYPERLINK("https://cao.dolgi.msk.ru/account/1060604484/", 1060604484)</f>
        <v>1060604484</v>
      </c>
      <c r="E2441" s="3">
        <v>24379.66</v>
      </c>
    </row>
    <row r="2442" spans="1:5" x14ac:dyDescent="0.25">
      <c r="A2442" s="3" t="s">
        <v>5</v>
      </c>
      <c r="B2442" s="3" t="s">
        <v>690</v>
      </c>
      <c r="C2442" s="3" t="s">
        <v>10</v>
      </c>
      <c r="D2442" s="4">
        <f>HYPERLINK("https://cao.dolgi.msk.ru/account/1060604687/", 1060604687)</f>
        <v>1060604687</v>
      </c>
      <c r="E2442" s="3">
        <v>115022.98</v>
      </c>
    </row>
    <row r="2443" spans="1:5" x14ac:dyDescent="0.25">
      <c r="A2443" s="3" t="s">
        <v>5</v>
      </c>
      <c r="B2443" s="3" t="s">
        <v>691</v>
      </c>
      <c r="C2443" s="3" t="s">
        <v>9</v>
      </c>
      <c r="D2443" s="4">
        <f>HYPERLINK("https://cao.dolgi.msk.ru/account/1060604847/", 1060604847)</f>
        <v>1060604847</v>
      </c>
      <c r="E2443" s="3">
        <v>29773.17</v>
      </c>
    </row>
    <row r="2444" spans="1:5" x14ac:dyDescent="0.25">
      <c r="A2444" s="3" t="s">
        <v>5</v>
      </c>
      <c r="B2444" s="3" t="s">
        <v>691</v>
      </c>
      <c r="C2444" s="3" t="s">
        <v>9</v>
      </c>
      <c r="D2444" s="4">
        <f>HYPERLINK("https://cao.dolgi.msk.ru/account/1060604855/", 1060604855)</f>
        <v>1060604855</v>
      </c>
      <c r="E2444" s="3">
        <v>118347.98</v>
      </c>
    </row>
    <row r="2445" spans="1:5" x14ac:dyDescent="0.25">
      <c r="A2445" s="3" t="s">
        <v>5</v>
      </c>
      <c r="B2445" s="3" t="s">
        <v>692</v>
      </c>
      <c r="C2445" s="3" t="s">
        <v>9</v>
      </c>
      <c r="D2445" s="4">
        <f>HYPERLINK("https://cao.dolgi.msk.ru/account/1069130828/", 1069130828)</f>
        <v>1069130828</v>
      </c>
      <c r="E2445" s="3">
        <v>104036.29</v>
      </c>
    </row>
    <row r="2446" spans="1:5" x14ac:dyDescent="0.25">
      <c r="A2446" s="3" t="s">
        <v>5</v>
      </c>
      <c r="B2446" s="3" t="s">
        <v>692</v>
      </c>
      <c r="C2446" s="3" t="s">
        <v>136</v>
      </c>
      <c r="D2446" s="4">
        <f>HYPERLINK("https://cao.dolgi.msk.ru/account/1069131521/", 1069131521)</f>
        <v>1069131521</v>
      </c>
      <c r="E2446" s="3">
        <v>28676.18</v>
      </c>
    </row>
    <row r="2447" spans="1:5" x14ac:dyDescent="0.25">
      <c r="A2447" s="3" t="s">
        <v>5</v>
      </c>
      <c r="B2447" s="3" t="s">
        <v>692</v>
      </c>
      <c r="C2447" s="3" t="s">
        <v>138</v>
      </c>
      <c r="D2447" s="4">
        <f>HYPERLINK("https://cao.dolgi.msk.ru/account/1069131097/", 1069131097)</f>
        <v>1069131097</v>
      </c>
      <c r="E2447" s="3">
        <v>1373.65</v>
      </c>
    </row>
    <row r="2448" spans="1:5" x14ac:dyDescent="0.25">
      <c r="A2448" s="3" t="s">
        <v>5</v>
      </c>
      <c r="B2448" s="3" t="s">
        <v>692</v>
      </c>
      <c r="C2448" s="3" t="s">
        <v>139</v>
      </c>
      <c r="D2448" s="4">
        <f>HYPERLINK("https://cao.dolgi.msk.ru/account/1069131337/", 1069131337)</f>
        <v>1069131337</v>
      </c>
      <c r="E2448" s="3">
        <v>6901.33</v>
      </c>
    </row>
    <row r="2449" spans="1:5" x14ac:dyDescent="0.25">
      <c r="A2449" s="3" t="s">
        <v>5</v>
      </c>
      <c r="B2449" s="3" t="s">
        <v>692</v>
      </c>
      <c r="C2449" s="3" t="s">
        <v>140</v>
      </c>
      <c r="D2449" s="4">
        <f>HYPERLINK("https://cao.dolgi.msk.ru/account/1060896165/", 1060896165)</f>
        <v>1060896165</v>
      </c>
      <c r="E2449" s="3">
        <v>4429.1899999999996</v>
      </c>
    </row>
    <row r="2450" spans="1:5" x14ac:dyDescent="0.25">
      <c r="A2450" s="3" t="s">
        <v>5</v>
      </c>
      <c r="B2450" s="3" t="s">
        <v>692</v>
      </c>
      <c r="C2450" s="3" t="s">
        <v>142</v>
      </c>
      <c r="D2450" s="4">
        <f>HYPERLINK("https://cao.dolgi.msk.ru/account/1069131249/", 1069131249)</f>
        <v>1069131249</v>
      </c>
      <c r="E2450" s="3">
        <v>6502.88</v>
      </c>
    </row>
    <row r="2451" spans="1:5" x14ac:dyDescent="0.25">
      <c r="A2451" s="3" t="s">
        <v>5</v>
      </c>
      <c r="B2451" s="3" t="s">
        <v>693</v>
      </c>
      <c r="C2451" s="3" t="s">
        <v>8</v>
      </c>
      <c r="D2451" s="4">
        <f>HYPERLINK("https://cao.dolgi.msk.ru/account/1060358295/", 1060358295)</f>
        <v>1060358295</v>
      </c>
      <c r="E2451" s="3">
        <v>3451.99</v>
      </c>
    </row>
    <row r="2452" spans="1:5" x14ac:dyDescent="0.25">
      <c r="A2452" s="3" t="s">
        <v>5</v>
      </c>
      <c r="B2452" s="3" t="s">
        <v>694</v>
      </c>
      <c r="C2452" s="3" t="s">
        <v>132</v>
      </c>
      <c r="D2452" s="4">
        <f>HYPERLINK("https://cao.dolgi.msk.ru/account/1060359191/", 1060359191)</f>
        <v>1060359191</v>
      </c>
      <c r="E2452" s="3">
        <v>23380.93</v>
      </c>
    </row>
    <row r="2453" spans="1:5" x14ac:dyDescent="0.25">
      <c r="A2453" s="3" t="s">
        <v>5</v>
      </c>
      <c r="B2453" s="3" t="s">
        <v>694</v>
      </c>
      <c r="C2453" s="3" t="s">
        <v>16</v>
      </c>
      <c r="D2453" s="4">
        <f>HYPERLINK("https://cao.dolgi.msk.ru/account/1060359423/", 1060359423)</f>
        <v>1060359423</v>
      </c>
      <c r="E2453" s="3">
        <v>57284.3</v>
      </c>
    </row>
    <row r="2454" spans="1:5" x14ac:dyDescent="0.25">
      <c r="A2454" s="3" t="s">
        <v>5</v>
      </c>
      <c r="B2454" s="3" t="s">
        <v>694</v>
      </c>
      <c r="C2454" s="3" t="s">
        <v>33</v>
      </c>
      <c r="D2454" s="4">
        <f>HYPERLINK("https://cao.dolgi.msk.ru/account/1060359634/", 1060359634)</f>
        <v>1060359634</v>
      </c>
      <c r="E2454" s="3">
        <v>3936.89</v>
      </c>
    </row>
    <row r="2455" spans="1:5" x14ac:dyDescent="0.25">
      <c r="A2455" s="3" t="s">
        <v>5</v>
      </c>
      <c r="B2455" s="3" t="s">
        <v>695</v>
      </c>
      <c r="C2455" s="3" t="s">
        <v>133</v>
      </c>
      <c r="D2455" s="4">
        <f>HYPERLINK("https://cao.dolgi.msk.ru/account/1060384514/", 1060384514)</f>
        <v>1060384514</v>
      </c>
      <c r="E2455" s="3">
        <v>109033.51</v>
      </c>
    </row>
    <row r="2456" spans="1:5" x14ac:dyDescent="0.25">
      <c r="A2456" s="3" t="s">
        <v>5</v>
      </c>
      <c r="B2456" s="3" t="s">
        <v>695</v>
      </c>
      <c r="C2456" s="3" t="s">
        <v>135</v>
      </c>
      <c r="D2456" s="4">
        <f>HYPERLINK("https://cao.dolgi.msk.ru/account/1060384573/", 1060384573)</f>
        <v>1060384573</v>
      </c>
      <c r="E2456" s="3">
        <v>45772.56</v>
      </c>
    </row>
    <row r="2457" spans="1:5" x14ac:dyDescent="0.25">
      <c r="A2457" s="3" t="s">
        <v>5</v>
      </c>
      <c r="B2457" s="3" t="s">
        <v>695</v>
      </c>
      <c r="C2457" s="3" t="s">
        <v>140</v>
      </c>
      <c r="D2457" s="4">
        <f>HYPERLINK("https://cao.dolgi.msk.ru/account/1060384709/", 1060384709)</f>
        <v>1060384709</v>
      </c>
      <c r="E2457" s="3">
        <v>190569.61</v>
      </c>
    </row>
    <row r="2458" spans="1:5" x14ac:dyDescent="0.25">
      <c r="A2458" s="3" t="s">
        <v>5</v>
      </c>
      <c r="B2458" s="3" t="s">
        <v>695</v>
      </c>
      <c r="C2458" s="3" t="s">
        <v>140</v>
      </c>
      <c r="D2458" s="4">
        <f>HYPERLINK("https://cao.dolgi.msk.ru/account/1060384717/", 1060384717)</f>
        <v>1060384717</v>
      </c>
      <c r="E2458" s="3">
        <v>7615.17</v>
      </c>
    </row>
    <row r="2459" spans="1:5" x14ac:dyDescent="0.25">
      <c r="A2459" s="3" t="s">
        <v>5</v>
      </c>
      <c r="B2459" s="3" t="s">
        <v>695</v>
      </c>
      <c r="C2459" s="3" t="s">
        <v>140</v>
      </c>
      <c r="D2459" s="4">
        <f>HYPERLINK("https://cao.dolgi.msk.ru/account/1060890759/", 1060890759)</f>
        <v>1060890759</v>
      </c>
      <c r="E2459" s="3">
        <v>66705.14</v>
      </c>
    </row>
    <row r="2460" spans="1:5" x14ac:dyDescent="0.25">
      <c r="A2460" s="3" t="s">
        <v>5</v>
      </c>
      <c r="B2460" s="3" t="s">
        <v>696</v>
      </c>
      <c r="C2460" s="3" t="s">
        <v>89</v>
      </c>
      <c r="D2460" s="4">
        <f>HYPERLINK("https://cao.dolgi.msk.ru/account/1060384805/", 1060384805)</f>
        <v>1060384805</v>
      </c>
      <c r="E2460" s="3">
        <v>13482.19</v>
      </c>
    </row>
    <row r="2461" spans="1:5" x14ac:dyDescent="0.25">
      <c r="A2461" s="3" t="s">
        <v>5</v>
      </c>
      <c r="B2461" s="3" t="s">
        <v>696</v>
      </c>
      <c r="C2461" s="3" t="s">
        <v>49</v>
      </c>
      <c r="D2461" s="4">
        <f>HYPERLINK("https://cao.dolgi.msk.ru/account/1060390906/", 1060390906)</f>
        <v>1060390906</v>
      </c>
      <c r="E2461" s="3">
        <v>45258.559999999998</v>
      </c>
    </row>
    <row r="2462" spans="1:5" x14ac:dyDescent="0.25">
      <c r="A2462" s="3" t="s">
        <v>5</v>
      </c>
      <c r="B2462" s="3" t="s">
        <v>696</v>
      </c>
      <c r="C2462" s="3" t="s">
        <v>81</v>
      </c>
      <c r="D2462" s="4">
        <f>HYPERLINK("https://cao.dolgi.msk.ru/account/1060390957/", 1060390957)</f>
        <v>1060390957</v>
      </c>
      <c r="E2462" s="3">
        <v>38279.94</v>
      </c>
    </row>
    <row r="2463" spans="1:5" x14ac:dyDescent="0.25">
      <c r="A2463" s="3" t="s">
        <v>5</v>
      </c>
      <c r="B2463" s="3" t="s">
        <v>696</v>
      </c>
      <c r="C2463" s="3" t="s">
        <v>86</v>
      </c>
      <c r="D2463" s="4">
        <f>HYPERLINK("https://cao.dolgi.msk.ru/account/1060080262/", 1060080262)</f>
        <v>1060080262</v>
      </c>
      <c r="E2463" s="3">
        <v>10852.27</v>
      </c>
    </row>
    <row r="2464" spans="1:5" x14ac:dyDescent="0.25">
      <c r="A2464" s="3" t="s">
        <v>5</v>
      </c>
      <c r="B2464" s="3" t="s">
        <v>696</v>
      </c>
      <c r="C2464" s="3" t="s">
        <v>104</v>
      </c>
      <c r="D2464" s="4">
        <f>HYPERLINK("https://cao.dolgi.msk.ru/account/1060385963/", 1060385963)</f>
        <v>1060385963</v>
      </c>
      <c r="E2464" s="3">
        <v>18856.77</v>
      </c>
    </row>
    <row r="2465" spans="1:5" x14ac:dyDescent="0.25">
      <c r="A2465" s="3" t="s">
        <v>5</v>
      </c>
      <c r="B2465" s="3" t="s">
        <v>696</v>
      </c>
      <c r="C2465" s="3" t="s">
        <v>157</v>
      </c>
      <c r="D2465" s="4">
        <f>HYPERLINK("https://cao.dolgi.msk.ru/account/1060386229/", 1060386229)</f>
        <v>1060386229</v>
      </c>
      <c r="E2465" s="3">
        <v>7268.66</v>
      </c>
    </row>
    <row r="2466" spans="1:5" x14ac:dyDescent="0.25">
      <c r="A2466" s="3" t="s">
        <v>5</v>
      </c>
      <c r="B2466" s="3" t="s">
        <v>696</v>
      </c>
      <c r="C2466" s="3" t="s">
        <v>160</v>
      </c>
      <c r="D2466" s="4">
        <f>HYPERLINK("https://cao.dolgi.msk.ru/account/1060391036/", 1060391036)</f>
        <v>1060391036</v>
      </c>
      <c r="E2466" s="3">
        <v>9905.07</v>
      </c>
    </row>
    <row r="2467" spans="1:5" x14ac:dyDescent="0.25">
      <c r="A2467" s="3" t="s">
        <v>5</v>
      </c>
      <c r="B2467" s="3" t="s">
        <v>696</v>
      </c>
      <c r="C2467" s="3" t="s">
        <v>176</v>
      </c>
      <c r="D2467" s="4">
        <f>HYPERLINK("https://cao.dolgi.msk.ru/account/1060393656/", 1060393656)</f>
        <v>1060393656</v>
      </c>
      <c r="E2467" s="3">
        <v>7210.74</v>
      </c>
    </row>
    <row r="2468" spans="1:5" x14ac:dyDescent="0.25">
      <c r="A2468" s="3" t="s">
        <v>5</v>
      </c>
      <c r="B2468" s="3" t="s">
        <v>696</v>
      </c>
      <c r="C2468" s="3" t="s">
        <v>223</v>
      </c>
      <c r="D2468" s="4">
        <f>HYPERLINK("https://cao.dolgi.msk.ru/account/1060386915/", 1060386915)</f>
        <v>1060386915</v>
      </c>
      <c r="E2468" s="3">
        <v>24125.19</v>
      </c>
    </row>
    <row r="2469" spans="1:5" x14ac:dyDescent="0.25">
      <c r="A2469" s="3" t="s">
        <v>5</v>
      </c>
      <c r="B2469" s="3" t="s">
        <v>697</v>
      </c>
      <c r="C2469" s="3" t="s">
        <v>143</v>
      </c>
      <c r="D2469" s="4">
        <f>HYPERLINK("https://cao.dolgi.msk.ru/account/1060383861/", 1060383861)</f>
        <v>1060383861</v>
      </c>
      <c r="E2469" s="3">
        <v>18402.43</v>
      </c>
    </row>
    <row r="2470" spans="1:5" x14ac:dyDescent="0.25">
      <c r="A2470" s="3" t="s">
        <v>5</v>
      </c>
      <c r="B2470" s="3" t="s">
        <v>697</v>
      </c>
      <c r="C2470" s="3" t="s">
        <v>26</v>
      </c>
      <c r="D2470" s="4">
        <f>HYPERLINK("https://cao.dolgi.msk.ru/account/1060384071/", 1060384071)</f>
        <v>1060384071</v>
      </c>
      <c r="E2470" s="3">
        <v>17427.12</v>
      </c>
    </row>
    <row r="2471" spans="1:5" x14ac:dyDescent="0.25">
      <c r="A2471" s="3" t="s">
        <v>5</v>
      </c>
      <c r="B2471" s="3" t="s">
        <v>698</v>
      </c>
      <c r="C2471" s="3" t="s">
        <v>20</v>
      </c>
      <c r="D2471" s="4">
        <f>HYPERLINK("https://cao.dolgi.msk.ru/account/1060360088/", 1060360088)</f>
        <v>1060360088</v>
      </c>
      <c r="E2471" s="3">
        <v>307422.7</v>
      </c>
    </row>
    <row r="2472" spans="1:5" x14ac:dyDescent="0.25">
      <c r="A2472" s="3" t="s">
        <v>5</v>
      </c>
      <c r="B2472" s="3" t="s">
        <v>698</v>
      </c>
      <c r="C2472" s="3" t="s">
        <v>24</v>
      </c>
      <c r="D2472" s="4">
        <f>HYPERLINK("https://cao.dolgi.msk.ru/account/1060360125/", 1060360125)</f>
        <v>1060360125</v>
      </c>
      <c r="E2472" s="3">
        <v>45395.56</v>
      </c>
    </row>
    <row r="2473" spans="1:5" x14ac:dyDescent="0.25">
      <c r="A2473" s="3" t="s">
        <v>5</v>
      </c>
      <c r="B2473" s="3" t="s">
        <v>698</v>
      </c>
      <c r="C2473" s="3" t="s">
        <v>26</v>
      </c>
      <c r="D2473" s="4">
        <f>HYPERLINK("https://cao.dolgi.msk.ru/account/1060360141/", 1060360141)</f>
        <v>1060360141</v>
      </c>
      <c r="E2473" s="3">
        <v>5600.13</v>
      </c>
    </row>
    <row r="2474" spans="1:5" x14ac:dyDescent="0.25">
      <c r="A2474" s="3" t="s">
        <v>5</v>
      </c>
      <c r="B2474" s="3" t="s">
        <v>698</v>
      </c>
      <c r="C2474" s="3" t="s">
        <v>46</v>
      </c>
      <c r="D2474" s="4">
        <f>HYPERLINK("https://cao.dolgi.msk.ru/account/1060360387/", 1060360387)</f>
        <v>1060360387</v>
      </c>
      <c r="E2474" s="3">
        <v>483167.58</v>
      </c>
    </row>
    <row r="2475" spans="1:5" x14ac:dyDescent="0.25">
      <c r="A2475" s="3" t="s">
        <v>5</v>
      </c>
      <c r="B2475" s="3" t="s">
        <v>699</v>
      </c>
      <c r="C2475" s="3" t="s">
        <v>51</v>
      </c>
      <c r="D2475" s="4">
        <f>HYPERLINK("https://cao.dolgi.msk.ru/account/1060360555/", 1060360555)</f>
        <v>1060360555</v>
      </c>
      <c r="E2475" s="3">
        <v>5650.26</v>
      </c>
    </row>
    <row r="2476" spans="1:5" x14ac:dyDescent="0.25">
      <c r="A2476" s="3" t="s">
        <v>5</v>
      </c>
      <c r="B2476" s="3" t="s">
        <v>699</v>
      </c>
      <c r="C2476" s="3" t="s">
        <v>9</v>
      </c>
      <c r="D2476" s="4">
        <f>HYPERLINK("https://cao.dolgi.msk.ru/account/1060360635/", 1060360635)</f>
        <v>1060360635</v>
      </c>
      <c r="E2476" s="3">
        <v>21816.69</v>
      </c>
    </row>
    <row r="2477" spans="1:5" x14ac:dyDescent="0.25">
      <c r="A2477" s="3" t="s">
        <v>5</v>
      </c>
      <c r="B2477" s="3" t="s">
        <v>699</v>
      </c>
      <c r="C2477" s="3" t="s">
        <v>138</v>
      </c>
      <c r="D2477" s="4">
        <f>HYPERLINK("https://cao.dolgi.msk.ru/account/1060360731/", 1060360731)</f>
        <v>1060360731</v>
      </c>
      <c r="E2477" s="3">
        <v>6618.5</v>
      </c>
    </row>
    <row r="2478" spans="1:5" x14ac:dyDescent="0.25">
      <c r="A2478" s="3" t="s">
        <v>5</v>
      </c>
      <c r="B2478" s="3" t="s">
        <v>699</v>
      </c>
      <c r="C2478" s="3" t="s">
        <v>11</v>
      </c>
      <c r="D2478" s="4">
        <f>HYPERLINK("https://cao.dolgi.msk.ru/account/1060360846/", 1060360846)</f>
        <v>1060360846</v>
      </c>
      <c r="E2478" s="3">
        <v>15430.35</v>
      </c>
    </row>
    <row r="2479" spans="1:5" x14ac:dyDescent="0.25">
      <c r="A2479" s="3" t="s">
        <v>5</v>
      </c>
      <c r="B2479" s="3" t="s">
        <v>699</v>
      </c>
      <c r="C2479" s="3" t="s">
        <v>32</v>
      </c>
      <c r="D2479" s="4">
        <f>HYPERLINK("https://cao.dolgi.msk.ru/account/1060361099/", 1060361099)</f>
        <v>1060361099</v>
      </c>
      <c r="E2479" s="3">
        <v>6161.2</v>
      </c>
    </row>
    <row r="2480" spans="1:5" x14ac:dyDescent="0.25">
      <c r="A2480" s="3" t="s">
        <v>5</v>
      </c>
      <c r="B2480" s="3" t="s">
        <v>699</v>
      </c>
      <c r="C2480" s="3" t="s">
        <v>49</v>
      </c>
      <c r="D2480" s="4">
        <f>HYPERLINK("https://cao.dolgi.msk.ru/account/1060361291/", 1060361291)</f>
        <v>1060361291</v>
      </c>
      <c r="E2480" s="3">
        <v>24122.959999999999</v>
      </c>
    </row>
    <row r="2481" spans="1:5" x14ac:dyDescent="0.25">
      <c r="A2481" s="3" t="s">
        <v>5</v>
      </c>
      <c r="B2481" s="3" t="s">
        <v>699</v>
      </c>
      <c r="C2481" s="3" t="s">
        <v>50</v>
      </c>
      <c r="D2481" s="4">
        <f>HYPERLINK("https://cao.dolgi.msk.ru/account/1060361304/", 1060361304)</f>
        <v>1060361304</v>
      </c>
      <c r="E2481" s="3">
        <v>7031.77</v>
      </c>
    </row>
    <row r="2482" spans="1:5" x14ac:dyDescent="0.25">
      <c r="A2482" s="3" t="s">
        <v>5</v>
      </c>
      <c r="B2482" s="3" t="s">
        <v>700</v>
      </c>
      <c r="C2482" s="3" t="s">
        <v>89</v>
      </c>
      <c r="D2482" s="4">
        <f>HYPERLINK("https://cao.dolgi.msk.ru/account/1060391626/", 1060391626)</f>
        <v>1060391626</v>
      </c>
      <c r="E2482" s="3">
        <v>27462.14</v>
      </c>
    </row>
    <row r="2483" spans="1:5" x14ac:dyDescent="0.25">
      <c r="A2483" s="3" t="s">
        <v>5</v>
      </c>
      <c r="B2483" s="3" t="s">
        <v>700</v>
      </c>
      <c r="C2483" s="3" t="s">
        <v>18</v>
      </c>
      <c r="D2483" s="4">
        <f>HYPERLINK("https://cao.dolgi.msk.ru/account/1060390615/", 1060390615)</f>
        <v>1060390615</v>
      </c>
      <c r="E2483" s="3">
        <v>10519.47</v>
      </c>
    </row>
    <row r="2484" spans="1:5" x14ac:dyDescent="0.25">
      <c r="A2484" s="3" t="s">
        <v>5</v>
      </c>
      <c r="B2484" s="3" t="s">
        <v>700</v>
      </c>
      <c r="C2484" s="3" t="s">
        <v>26</v>
      </c>
      <c r="D2484" s="4">
        <f>HYPERLINK("https://cao.dolgi.msk.ru/account/1060392223/", 1060392223)</f>
        <v>1060392223</v>
      </c>
      <c r="E2484" s="3">
        <v>5675.14</v>
      </c>
    </row>
    <row r="2485" spans="1:5" x14ac:dyDescent="0.25">
      <c r="A2485" s="3" t="s">
        <v>5</v>
      </c>
      <c r="B2485" s="3" t="s">
        <v>700</v>
      </c>
      <c r="C2485" s="3" t="s">
        <v>38</v>
      </c>
      <c r="D2485" s="4">
        <f>HYPERLINK("https://cao.dolgi.msk.ru/account/1060078832/", 1060078832)</f>
        <v>1060078832</v>
      </c>
      <c r="E2485" s="3">
        <v>9001.8700000000008</v>
      </c>
    </row>
    <row r="2486" spans="1:5" x14ac:dyDescent="0.25">
      <c r="A2486" s="3" t="s">
        <v>5</v>
      </c>
      <c r="B2486" s="3" t="s">
        <v>700</v>
      </c>
      <c r="C2486" s="3" t="s">
        <v>42</v>
      </c>
      <c r="D2486" s="4">
        <f>HYPERLINK("https://cao.dolgi.msk.ru/account/1060393672/", 1060393672)</f>
        <v>1060393672</v>
      </c>
      <c r="E2486" s="3">
        <v>12605.26</v>
      </c>
    </row>
    <row r="2487" spans="1:5" x14ac:dyDescent="0.25">
      <c r="A2487" s="3" t="s">
        <v>5</v>
      </c>
      <c r="B2487" s="3" t="s">
        <v>700</v>
      </c>
      <c r="C2487" s="3" t="s">
        <v>83</v>
      </c>
      <c r="D2487" s="4">
        <f>HYPERLINK("https://cao.dolgi.msk.ru/account/1060391239/", 1060391239)</f>
        <v>1060391239</v>
      </c>
      <c r="E2487" s="3">
        <v>4531.43</v>
      </c>
    </row>
    <row r="2488" spans="1:5" x14ac:dyDescent="0.25">
      <c r="A2488" s="3" t="s">
        <v>5</v>
      </c>
      <c r="B2488" s="3" t="s">
        <v>700</v>
      </c>
      <c r="C2488" s="3" t="s">
        <v>144</v>
      </c>
      <c r="D2488" s="4">
        <f>HYPERLINK("https://cao.dolgi.msk.ru/account/1060391829/", 1060391829)</f>
        <v>1060391829</v>
      </c>
      <c r="E2488" s="3">
        <v>10397.36</v>
      </c>
    </row>
    <row r="2489" spans="1:5" x14ac:dyDescent="0.25">
      <c r="A2489" s="3" t="s">
        <v>5</v>
      </c>
      <c r="B2489" s="3" t="s">
        <v>700</v>
      </c>
      <c r="C2489" s="3" t="s">
        <v>92</v>
      </c>
      <c r="D2489" s="4">
        <f>HYPERLINK("https://cao.dolgi.msk.ru/account/1060075586/", 1060075586)</f>
        <v>1060075586</v>
      </c>
      <c r="E2489" s="3">
        <v>69698.19</v>
      </c>
    </row>
    <row r="2490" spans="1:5" x14ac:dyDescent="0.25">
      <c r="A2490" s="3" t="s">
        <v>5</v>
      </c>
      <c r="B2490" s="3" t="s">
        <v>700</v>
      </c>
      <c r="C2490" s="3" t="s">
        <v>98</v>
      </c>
      <c r="D2490" s="4">
        <f>HYPERLINK("https://cao.dolgi.msk.ru/account/1060392151/", 1060392151)</f>
        <v>1060392151</v>
      </c>
      <c r="E2490" s="3">
        <v>5128.18</v>
      </c>
    </row>
    <row r="2491" spans="1:5" x14ac:dyDescent="0.25">
      <c r="A2491" s="3" t="s">
        <v>5</v>
      </c>
      <c r="B2491" s="3" t="s">
        <v>700</v>
      </c>
      <c r="C2491" s="3" t="s">
        <v>114</v>
      </c>
      <c r="D2491" s="4">
        <f>HYPERLINK("https://cao.dolgi.msk.ru/account/1060392581/", 1060392581)</f>
        <v>1060392581</v>
      </c>
      <c r="E2491" s="3">
        <v>22666.84</v>
      </c>
    </row>
    <row r="2492" spans="1:5" x14ac:dyDescent="0.25">
      <c r="A2492" s="3" t="s">
        <v>5</v>
      </c>
      <c r="B2492" s="3" t="s">
        <v>700</v>
      </c>
      <c r="C2492" s="3" t="s">
        <v>149</v>
      </c>
      <c r="D2492" s="4">
        <f>HYPERLINK("https://cao.dolgi.msk.ru/account/1060073142/", 1060073142)</f>
        <v>1060073142</v>
      </c>
      <c r="E2492" s="3">
        <v>6142.89</v>
      </c>
    </row>
    <row r="2493" spans="1:5" x14ac:dyDescent="0.25">
      <c r="A2493" s="3" t="s">
        <v>5</v>
      </c>
      <c r="B2493" s="3" t="s">
        <v>700</v>
      </c>
      <c r="C2493" s="3" t="s">
        <v>150</v>
      </c>
      <c r="D2493" s="4">
        <f>HYPERLINK("https://cao.dolgi.msk.ru/account/1060391407/", 1060391407)</f>
        <v>1060391407</v>
      </c>
      <c r="E2493" s="3">
        <v>7902.29</v>
      </c>
    </row>
    <row r="2494" spans="1:5" x14ac:dyDescent="0.25">
      <c r="A2494" s="3" t="s">
        <v>5</v>
      </c>
      <c r="B2494" s="3" t="s">
        <v>700</v>
      </c>
      <c r="C2494" s="3" t="s">
        <v>172</v>
      </c>
      <c r="D2494" s="4">
        <f>HYPERLINK("https://cao.dolgi.msk.ru/account/1060392055/", 1060392055)</f>
        <v>1060392055</v>
      </c>
      <c r="E2494" s="3">
        <v>290975.96000000002</v>
      </c>
    </row>
    <row r="2495" spans="1:5" x14ac:dyDescent="0.25">
      <c r="A2495" s="3" t="s">
        <v>5</v>
      </c>
      <c r="B2495" s="3" t="s">
        <v>700</v>
      </c>
      <c r="C2495" s="3" t="s">
        <v>188</v>
      </c>
      <c r="D2495" s="4">
        <f>HYPERLINK("https://cao.dolgi.msk.ru/account/1060077995/", 1060077995)</f>
        <v>1060077995</v>
      </c>
      <c r="E2495" s="3">
        <v>23773.16</v>
      </c>
    </row>
    <row r="2496" spans="1:5" x14ac:dyDescent="0.25">
      <c r="A2496" s="3" t="s">
        <v>5</v>
      </c>
      <c r="B2496" s="3" t="s">
        <v>700</v>
      </c>
      <c r="C2496" s="3" t="s">
        <v>190</v>
      </c>
      <c r="D2496" s="4">
        <f>HYPERLINK("https://cao.dolgi.msk.ru/account/1060391693/", 1060391693)</f>
        <v>1060391693</v>
      </c>
      <c r="E2496" s="3">
        <v>36709.78</v>
      </c>
    </row>
    <row r="2497" spans="1:5" x14ac:dyDescent="0.25">
      <c r="A2497" s="3" t="s">
        <v>5</v>
      </c>
      <c r="B2497" s="3" t="s">
        <v>701</v>
      </c>
      <c r="C2497" s="3" t="s">
        <v>7</v>
      </c>
      <c r="D2497" s="4">
        <f>HYPERLINK("https://cao.dolgi.msk.ru/account/1060363449/", 1060363449)</f>
        <v>1060363449</v>
      </c>
      <c r="E2497" s="3">
        <v>28246.03</v>
      </c>
    </row>
    <row r="2498" spans="1:5" x14ac:dyDescent="0.25">
      <c r="A2498" s="3" t="s">
        <v>5</v>
      </c>
      <c r="B2498" s="3" t="s">
        <v>701</v>
      </c>
      <c r="C2498" s="3" t="s">
        <v>16</v>
      </c>
      <c r="D2498" s="4">
        <f>HYPERLINK("https://cao.dolgi.msk.ru/account/1060363537/", 1060363537)</f>
        <v>1060363537</v>
      </c>
      <c r="E2498" s="3">
        <v>10401.459999999999</v>
      </c>
    </row>
    <row r="2499" spans="1:5" x14ac:dyDescent="0.25">
      <c r="A2499" s="3" t="s">
        <v>5</v>
      </c>
      <c r="B2499" s="3" t="s">
        <v>701</v>
      </c>
      <c r="C2499" s="3" t="s">
        <v>17</v>
      </c>
      <c r="D2499" s="4">
        <f>HYPERLINK("https://cao.dolgi.msk.ru/account/1060363545/", 1060363545)</f>
        <v>1060363545</v>
      </c>
      <c r="E2499" s="3">
        <v>22695.79</v>
      </c>
    </row>
    <row r="2500" spans="1:5" x14ac:dyDescent="0.25">
      <c r="A2500" s="3" t="s">
        <v>5</v>
      </c>
      <c r="B2500" s="3" t="s">
        <v>701</v>
      </c>
      <c r="C2500" s="3" t="s">
        <v>34</v>
      </c>
      <c r="D2500" s="4">
        <f>HYPERLINK("https://cao.dolgi.msk.ru/account/1060363748/", 1060363748)</f>
        <v>1060363748</v>
      </c>
      <c r="E2500" s="3">
        <v>15612.66</v>
      </c>
    </row>
    <row r="2501" spans="1:5" x14ac:dyDescent="0.25">
      <c r="A2501" s="3" t="s">
        <v>5</v>
      </c>
      <c r="B2501" s="3" t="s">
        <v>701</v>
      </c>
      <c r="C2501" s="3" t="s">
        <v>45</v>
      </c>
      <c r="D2501" s="4">
        <f>HYPERLINK("https://cao.dolgi.msk.ru/account/1060363887/", 1060363887)</f>
        <v>1060363887</v>
      </c>
      <c r="E2501" s="3">
        <v>9427.76</v>
      </c>
    </row>
    <row r="2502" spans="1:5" x14ac:dyDescent="0.25">
      <c r="A2502" s="3" t="s">
        <v>5</v>
      </c>
      <c r="B2502" s="3" t="s">
        <v>701</v>
      </c>
      <c r="C2502" s="3" t="s">
        <v>57</v>
      </c>
      <c r="D2502" s="4">
        <f>HYPERLINK("https://cao.dolgi.msk.ru/account/1060364003/", 1060364003)</f>
        <v>1060364003</v>
      </c>
      <c r="E2502" s="3">
        <v>19839.86</v>
      </c>
    </row>
    <row r="2503" spans="1:5" x14ac:dyDescent="0.25">
      <c r="A2503" s="3" t="s">
        <v>5</v>
      </c>
      <c r="B2503" s="3" t="s">
        <v>701</v>
      </c>
      <c r="C2503" s="3" t="s">
        <v>66</v>
      </c>
      <c r="D2503" s="4">
        <f>HYPERLINK("https://cao.dolgi.msk.ru/account/1060364126/", 1060364126)</f>
        <v>1060364126</v>
      </c>
      <c r="E2503" s="3">
        <v>32413.63</v>
      </c>
    </row>
    <row r="2504" spans="1:5" x14ac:dyDescent="0.25">
      <c r="A2504" s="3" t="s">
        <v>5</v>
      </c>
      <c r="B2504" s="3" t="s">
        <v>702</v>
      </c>
      <c r="C2504" s="3" t="s">
        <v>89</v>
      </c>
      <c r="D2504" s="4">
        <f>HYPERLINK("https://cao.dolgi.msk.ru/account/1060767873/", 1060767873)</f>
        <v>1060767873</v>
      </c>
      <c r="E2504" s="3">
        <v>6374.63</v>
      </c>
    </row>
    <row r="2505" spans="1:5" x14ac:dyDescent="0.25">
      <c r="A2505" s="3" t="s">
        <v>5</v>
      </c>
      <c r="B2505" s="3" t="s">
        <v>702</v>
      </c>
      <c r="C2505" s="3" t="s">
        <v>105</v>
      </c>
      <c r="D2505" s="4">
        <f>HYPERLINK("https://cao.dolgi.msk.ru/account/1060767881/", 1060767881)</f>
        <v>1060767881</v>
      </c>
      <c r="E2505" s="3">
        <v>7914.03</v>
      </c>
    </row>
    <row r="2506" spans="1:5" x14ac:dyDescent="0.25">
      <c r="A2506" s="3" t="s">
        <v>5</v>
      </c>
      <c r="B2506" s="3" t="s">
        <v>702</v>
      </c>
      <c r="C2506" s="3" t="s">
        <v>10</v>
      </c>
      <c r="D2506" s="4">
        <f>HYPERLINK("https://cao.dolgi.msk.ru/account/1060773106/", 1060773106)</f>
        <v>1060773106</v>
      </c>
      <c r="E2506" s="3">
        <v>9113.66</v>
      </c>
    </row>
    <row r="2507" spans="1:5" x14ac:dyDescent="0.25">
      <c r="A2507" s="3" t="s">
        <v>5</v>
      </c>
      <c r="B2507" s="3" t="s">
        <v>702</v>
      </c>
      <c r="C2507" s="3" t="s">
        <v>23</v>
      </c>
      <c r="D2507" s="4">
        <f>HYPERLINK("https://cao.dolgi.msk.ru/account/1060768243/", 1060768243)</f>
        <v>1060768243</v>
      </c>
      <c r="E2507" s="3">
        <v>228723.46</v>
      </c>
    </row>
    <row r="2508" spans="1:5" x14ac:dyDescent="0.25">
      <c r="A2508" s="3" t="s">
        <v>5</v>
      </c>
      <c r="B2508" s="3" t="s">
        <v>702</v>
      </c>
      <c r="C2508" s="3" t="s">
        <v>36</v>
      </c>
      <c r="D2508" s="4">
        <f>HYPERLINK("https://cao.dolgi.msk.ru/account/1060773472/", 1060773472)</f>
        <v>1060773472</v>
      </c>
      <c r="E2508" s="3">
        <v>122549.95</v>
      </c>
    </row>
    <row r="2509" spans="1:5" x14ac:dyDescent="0.25">
      <c r="A2509" s="3" t="s">
        <v>5</v>
      </c>
      <c r="B2509" s="3" t="s">
        <v>702</v>
      </c>
      <c r="C2509" s="3" t="s">
        <v>39</v>
      </c>
      <c r="D2509" s="4">
        <f>HYPERLINK("https://cao.dolgi.msk.ru/account/1060768411/", 1060768411)</f>
        <v>1060768411</v>
      </c>
      <c r="E2509" s="3">
        <v>8069.7</v>
      </c>
    </row>
    <row r="2510" spans="1:5" x14ac:dyDescent="0.25">
      <c r="A2510" s="3" t="s">
        <v>5</v>
      </c>
      <c r="B2510" s="3" t="s">
        <v>702</v>
      </c>
      <c r="C2510" s="3" t="s">
        <v>43</v>
      </c>
      <c r="D2510" s="4">
        <f>HYPERLINK("https://cao.dolgi.msk.ru/account/1060768462/", 1060768462)</f>
        <v>1060768462</v>
      </c>
      <c r="E2510" s="3">
        <v>20933.64</v>
      </c>
    </row>
    <row r="2511" spans="1:5" x14ac:dyDescent="0.25">
      <c r="A2511" s="3" t="s">
        <v>5</v>
      </c>
      <c r="B2511" s="3" t="s">
        <v>702</v>
      </c>
      <c r="C2511" s="3" t="s">
        <v>47</v>
      </c>
      <c r="D2511" s="4">
        <f>HYPERLINK("https://cao.dolgi.msk.ru/account/1060768526/", 1060768526)</f>
        <v>1060768526</v>
      </c>
      <c r="E2511" s="3">
        <v>24689.5</v>
      </c>
    </row>
    <row r="2512" spans="1:5" x14ac:dyDescent="0.25">
      <c r="A2512" s="3" t="s">
        <v>5</v>
      </c>
      <c r="B2512" s="3" t="s">
        <v>702</v>
      </c>
      <c r="C2512" s="3" t="s">
        <v>58</v>
      </c>
      <c r="D2512" s="4">
        <f>HYPERLINK("https://cao.dolgi.msk.ru/account/1060768649/", 1060768649)</f>
        <v>1060768649</v>
      </c>
      <c r="E2512" s="3">
        <v>33309.22</v>
      </c>
    </row>
    <row r="2513" spans="1:5" x14ac:dyDescent="0.25">
      <c r="A2513" s="3" t="s">
        <v>5</v>
      </c>
      <c r="B2513" s="3" t="s">
        <v>702</v>
      </c>
      <c r="C2513" s="3" t="s">
        <v>65</v>
      </c>
      <c r="D2513" s="4">
        <f>HYPERLINK("https://cao.dolgi.msk.ru/account/1060866644/", 1060866644)</f>
        <v>1060866644</v>
      </c>
      <c r="E2513" s="3">
        <v>24689.439999999999</v>
      </c>
    </row>
    <row r="2514" spans="1:5" x14ac:dyDescent="0.25">
      <c r="A2514" s="3" t="s">
        <v>5</v>
      </c>
      <c r="B2514" s="3" t="s">
        <v>702</v>
      </c>
      <c r="C2514" s="3" t="s">
        <v>77</v>
      </c>
      <c r="D2514" s="4">
        <f>HYPERLINK("https://cao.dolgi.msk.ru/account/1060768817/", 1060768817)</f>
        <v>1060768817</v>
      </c>
      <c r="E2514" s="3">
        <v>9165.9599999999991</v>
      </c>
    </row>
    <row r="2515" spans="1:5" x14ac:dyDescent="0.25">
      <c r="A2515" s="3" t="s">
        <v>5</v>
      </c>
      <c r="B2515" s="3" t="s">
        <v>702</v>
      </c>
      <c r="C2515" s="3" t="s">
        <v>83</v>
      </c>
      <c r="D2515" s="4">
        <f>HYPERLINK("https://cao.dolgi.msk.ru/account/1060768884/", 1060768884)</f>
        <v>1060768884</v>
      </c>
      <c r="E2515" s="3">
        <v>9329.34</v>
      </c>
    </row>
    <row r="2516" spans="1:5" x14ac:dyDescent="0.25">
      <c r="A2516" s="3" t="s">
        <v>5</v>
      </c>
      <c r="B2516" s="3" t="s">
        <v>702</v>
      </c>
      <c r="C2516" s="3" t="s">
        <v>92</v>
      </c>
      <c r="D2516" s="4">
        <f>HYPERLINK("https://cao.dolgi.msk.ru/account/1060768972/", 1060768972)</f>
        <v>1060768972</v>
      </c>
      <c r="E2516" s="3">
        <v>32565.18</v>
      </c>
    </row>
    <row r="2517" spans="1:5" x14ac:dyDescent="0.25">
      <c r="A2517" s="3" t="s">
        <v>5</v>
      </c>
      <c r="B2517" s="3" t="s">
        <v>702</v>
      </c>
      <c r="C2517" s="3" t="s">
        <v>146</v>
      </c>
      <c r="D2517" s="4">
        <f>HYPERLINK("https://cao.dolgi.msk.ru/account/1060769131/", 1060769131)</f>
        <v>1060769131</v>
      </c>
      <c r="E2517" s="3">
        <v>11838.51</v>
      </c>
    </row>
    <row r="2518" spans="1:5" x14ac:dyDescent="0.25">
      <c r="A2518" s="3" t="s">
        <v>5</v>
      </c>
      <c r="B2518" s="3" t="s">
        <v>702</v>
      </c>
      <c r="C2518" s="3" t="s">
        <v>114</v>
      </c>
      <c r="D2518" s="4">
        <f>HYPERLINK("https://cao.dolgi.msk.ru/account/1060769297/", 1060769297)</f>
        <v>1060769297</v>
      </c>
      <c r="E2518" s="3">
        <v>3906</v>
      </c>
    </row>
    <row r="2519" spans="1:5" x14ac:dyDescent="0.25">
      <c r="A2519" s="3" t="s">
        <v>5</v>
      </c>
      <c r="B2519" s="3" t="s">
        <v>702</v>
      </c>
      <c r="C2519" s="3" t="s">
        <v>154</v>
      </c>
      <c r="D2519" s="4">
        <f>HYPERLINK("https://cao.dolgi.msk.ru/account/1060769393/", 1060769393)</f>
        <v>1060769393</v>
      </c>
      <c r="E2519" s="3">
        <v>4314.53</v>
      </c>
    </row>
    <row r="2520" spans="1:5" x14ac:dyDescent="0.25">
      <c r="A2520" s="3" t="s">
        <v>5</v>
      </c>
      <c r="B2520" s="3" t="s">
        <v>702</v>
      </c>
      <c r="C2520" s="3" t="s">
        <v>156</v>
      </c>
      <c r="D2520" s="4">
        <f>HYPERLINK("https://cao.dolgi.msk.ru/account/1060769414/", 1060769414)</f>
        <v>1060769414</v>
      </c>
      <c r="E2520" s="3">
        <v>4468.49</v>
      </c>
    </row>
    <row r="2521" spans="1:5" x14ac:dyDescent="0.25">
      <c r="A2521" s="3" t="s">
        <v>5</v>
      </c>
      <c r="B2521" s="3" t="s">
        <v>702</v>
      </c>
      <c r="C2521" s="3" t="s">
        <v>177</v>
      </c>
      <c r="D2521" s="4">
        <f>HYPERLINK("https://cao.dolgi.msk.ru/account/1060769676/", 1060769676)</f>
        <v>1060769676</v>
      </c>
      <c r="E2521" s="3">
        <v>3936.25</v>
      </c>
    </row>
    <row r="2522" spans="1:5" x14ac:dyDescent="0.25">
      <c r="A2522" s="3" t="s">
        <v>5</v>
      </c>
      <c r="B2522" s="3" t="s">
        <v>702</v>
      </c>
      <c r="C2522" s="3" t="s">
        <v>186</v>
      </c>
      <c r="D2522" s="4">
        <f>HYPERLINK("https://cao.dolgi.msk.ru/account/1060769772/", 1060769772)</f>
        <v>1060769772</v>
      </c>
      <c r="E2522" s="3">
        <v>28107.05</v>
      </c>
    </row>
    <row r="2523" spans="1:5" x14ac:dyDescent="0.25">
      <c r="A2523" s="3" t="s">
        <v>5</v>
      </c>
      <c r="B2523" s="3" t="s">
        <v>702</v>
      </c>
      <c r="C2523" s="3" t="s">
        <v>193</v>
      </c>
      <c r="D2523" s="4">
        <f>HYPERLINK("https://cao.dolgi.msk.ru/account/1060769895/", 1060769895)</f>
        <v>1060769895</v>
      </c>
      <c r="E2523" s="3">
        <v>13285.85</v>
      </c>
    </row>
    <row r="2524" spans="1:5" x14ac:dyDescent="0.25">
      <c r="A2524" s="3" t="s">
        <v>5</v>
      </c>
      <c r="B2524" s="3" t="s">
        <v>702</v>
      </c>
      <c r="C2524" s="3" t="s">
        <v>220</v>
      </c>
      <c r="D2524" s="4">
        <f>HYPERLINK("https://cao.dolgi.msk.ru/account/1060770167/", 1060770167)</f>
        <v>1060770167</v>
      </c>
      <c r="E2524" s="3">
        <v>12524.99</v>
      </c>
    </row>
    <row r="2525" spans="1:5" x14ac:dyDescent="0.25">
      <c r="A2525" s="3" t="s">
        <v>5</v>
      </c>
      <c r="B2525" s="3" t="s">
        <v>702</v>
      </c>
      <c r="C2525" s="3" t="s">
        <v>228</v>
      </c>
      <c r="D2525" s="4">
        <f>HYPERLINK("https://cao.dolgi.msk.ru/account/1060770255/", 1060770255)</f>
        <v>1060770255</v>
      </c>
      <c r="E2525" s="3">
        <v>31155.02</v>
      </c>
    </row>
    <row r="2526" spans="1:5" x14ac:dyDescent="0.25">
      <c r="A2526" s="3" t="s">
        <v>5</v>
      </c>
      <c r="B2526" s="3" t="s">
        <v>702</v>
      </c>
      <c r="C2526" s="3" t="s">
        <v>234</v>
      </c>
      <c r="D2526" s="4">
        <f>HYPERLINK("https://cao.dolgi.msk.ru/account/1060772998/", 1060772998)</f>
        <v>1060772998</v>
      </c>
      <c r="E2526" s="3">
        <v>68723.16</v>
      </c>
    </row>
    <row r="2527" spans="1:5" x14ac:dyDescent="0.25">
      <c r="A2527" s="3" t="s">
        <v>5</v>
      </c>
      <c r="B2527" s="3" t="s">
        <v>702</v>
      </c>
      <c r="C2527" s="3" t="s">
        <v>244</v>
      </c>
      <c r="D2527" s="4">
        <f>HYPERLINK("https://cao.dolgi.msk.ru/account/1060770562/", 1060770562)</f>
        <v>1060770562</v>
      </c>
      <c r="E2527" s="3">
        <v>12995.11</v>
      </c>
    </row>
    <row r="2528" spans="1:5" x14ac:dyDescent="0.25">
      <c r="A2528" s="3" t="s">
        <v>5</v>
      </c>
      <c r="B2528" s="3" t="s">
        <v>702</v>
      </c>
      <c r="C2528" s="3" t="s">
        <v>254</v>
      </c>
      <c r="D2528" s="4">
        <f>HYPERLINK("https://cao.dolgi.msk.ru/account/1060770693/", 1060770693)</f>
        <v>1060770693</v>
      </c>
      <c r="E2528" s="3">
        <v>251302.68</v>
      </c>
    </row>
    <row r="2529" spans="1:5" x14ac:dyDescent="0.25">
      <c r="A2529" s="3" t="s">
        <v>5</v>
      </c>
      <c r="B2529" s="3" t="s">
        <v>702</v>
      </c>
      <c r="C2529" s="3" t="s">
        <v>260</v>
      </c>
      <c r="D2529" s="4">
        <f>HYPERLINK("https://cao.dolgi.msk.ru/account/1060770765/", 1060770765)</f>
        <v>1060770765</v>
      </c>
      <c r="E2529" s="3">
        <v>26607.75</v>
      </c>
    </row>
    <row r="2530" spans="1:5" x14ac:dyDescent="0.25">
      <c r="A2530" s="3" t="s">
        <v>5</v>
      </c>
      <c r="B2530" s="3" t="s">
        <v>703</v>
      </c>
      <c r="C2530" s="3" t="s">
        <v>30</v>
      </c>
      <c r="D2530" s="4">
        <f>HYPERLINK("https://cao.dolgi.msk.ru/account/1060763661/", 1060763661)</f>
        <v>1060763661</v>
      </c>
      <c r="E2530" s="3">
        <v>82671.64</v>
      </c>
    </row>
    <row r="2531" spans="1:5" x14ac:dyDescent="0.25">
      <c r="A2531" s="3" t="s">
        <v>5</v>
      </c>
      <c r="B2531" s="3" t="s">
        <v>703</v>
      </c>
      <c r="C2531" s="3" t="s">
        <v>135</v>
      </c>
      <c r="D2531" s="4">
        <f>HYPERLINK("https://cao.dolgi.msk.ru/account/1060763776/", 1060763776)</f>
        <v>1060763776</v>
      </c>
      <c r="E2531" s="3">
        <v>17059.32</v>
      </c>
    </row>
    <row r="2532" spans="1:5" x14ac:dyDescent="0.25">
      <c r="A2532" s="3" t="s">
        <v>5</v>
      </c>
      <c r="B2532" s="3" t="s">
        <v>703</v>
      </c>
      <c r="C2532" s="3" t="s">
        <v>15</v>
      </c>
      <c r="D2532" s="4">
        <f>HYPERLINK("https://cao.dolgi.msk.ru/account/1060763952/", 1060763952)</f>
        <v>1060763952</v>
      </c>
      <c r="E2532" s="3">
        <v>22015.35</v>
      </c>
    </row>
    <row r="2533" spans="1:5" x14ac:dyDescent="0.25">
      <c r="A2533" s="3" t="s">
        <v>5</v>
      </c>
      <c r="B2533" s="3" t="s">
        <v>703</v>
      </c>
      <c r="C2533" s="3" t="s">
        <v>53</v>
      </c>
      <c r="D2533" s="4">
        <f>HYPERLINK("https://cao.dolgi.msk.ru/account/1060764381/", 1060764381)</f>
        <v>1060764381</v>
      </c>
      <c r="E2533" s="3">
        <v>8061.55</v>
      </c>
    </row>
    <row r="2534" spans="1:5" x14ac:dyDescent="0.25">
      <c r="A2534" s="3" t="s">
        <v>5</v>
      </c>
      <c r="B2534" s="3" t="s">
        <v>703</v>
      </c>
      <c r="C2534" s="3" t="s">
        <v>91</v>
      </c>
      <c r="D2534" s="4">
        <f>HYPERLINK("https://cao.dolgi.msk.ru/account/1060818941/", 1060818941)</f>
        <v>1060818941</v>
      </c>
      <c r="E2534" s="3">
        <v>16156.42</v>
      </c>
    </row>
    <row r="2535" spans="1:5" x14ac:dyDescent="0.25">
      <c r="A2535" s="3" t="s">
        <v>5</v>
      </c>
      <c r="B2535" s="3" t="s">
        <v>703</v>
      </c>
      <c r="C2535" s="3" t="s">
        <v>99</v>
      </c>
      <c r="D2535" s="4">
        <f>HYPERLINK("https://cao.dolgi.msk.ru/account/1060778425/", 1060778425)</f>
        <v>1060778425</v>
      </c>
      <c r="E2535" s="3">
        <v>4604.66</v>
      </c>
    </row>
    <row r="2536" spans="1:5" x14ac:dyDescent="0.25">
      <c r="A2536" s="3" t="s">
        <v>5</v>
      </c>
      <c r="B2536" s="3" t="s">
        <v>703</v>
      </c>
      <c r="C2536" s="3" t="s">
        <v>171</v>
      </c>
      <c r="D2536" s="4">
        <f>HYPERLINK("https://cao.dolgi.msk.ru/account/1060765405/", 1060765405)</f>
        <v>1060765405</v>
      </c>
      <c r="E2536" s="3">
        <v>3240.07</v>
      </c>
    </row>
    <row r="2537" spans="1:5" x14ac:dyDescent="0.25">
      <c r="A2537" s="3" t="s">
        <v>5</v>
      </c>
      <c r="B2537" s="3" t="s">
        <v>703</v>
      </c>
      <c r="C2537" s="3" t="s">
        <v>181</v>
      </c>
      <c r="D2537" s="4">
        <f>HYPERLINK("https://cao.dolgi.msk.ru/account/1060765536/", 1060765536)</f>
        <v>1060765536</v>
      </c>
      <c r="E2537" s="3">
        <v>9819.08</v>
      </c>
    </row>
    <row r="2538" spans="1:5" x14ac:dyDescent="0.25">
      <c r="A2538" s="3" t="s">
        <v>5</v>
      </c>
      <c r="B2538" s="3" t="s">
        <v>703</v>
      </c>
      <c r="C2538" s="3" t="s">
        <v>210</v>
      </c>
      <c r="D2538" s="4">
        <f>HYPERLINK("https://cao.dolgi.msk.ru/account/1060823943/", 1060823943)</f>
        <v>1060823943</v>
      </c>
      <c r="E2538" s="3">
        <v>3810.16</v>
      </c>
    </row>
    <row r="2539" spans="1:5" x14ac:dyDescent="0.25">
      <c r="A2539" s="3" t="s">
        <v>5</v>
      </c>
      <c r="B2539" s="3" t="s">
        <v>703</v>
      </c>
      <c r="C2539" s="3" t="s">
        <v>217</v>
      </c>
      <c r="D2539" s="4">
        <f>HYPERLINK("https://cao.dolgi.msk.ru/account/1060765915/", 1060765915)</f>
        <v>1060765915</v>
      </c>
      <c r="E2539" s="3">
        <v>18297.669999999998</v>
      </c>
    </row>
    <row r="2540" spans="1:5" x14ac:dyDescent="0.25">
      <c r="A2540" s="3" t="s">
        <v>5</v>
      </c>
      <c r="B2540" s="3" t="s">
        <v>703</v>
      </c>
      <c r="C2540" s="3" t="s">
        <v>228</v>
      </c>
      <c r="D2540" s="4">
        <f>HYPERLINK("https://cao.dolgi.msk.ru/account/1060766053/", 1060766053)</f>
        <v>1060766053</v>
      </c>
      <c r="E2540" s="3">
        <v>21183.01</v>
      </c>
    </row>
    <row r="2541" spans="1:5" x14ac:dyDescent="0.25">
      <c r="A2541" s="3" t="s">
        <v>5</v>
      </c>
      <c r="B2541" s="3" t="s">
        <v>703</v>
      </c>
      <c r="C2541" s="3" t="s">
        <v>231</v>
      </c>
      <c r="D2541" s="4">
        <f>HYPERLINK("https://cao.dolgi.msk.ru/account/1060766096/", 1060766096)</f>
        <v>1060766096</v>
      </c>
      <c r="E2541" s="3">
        <v>17208.68</v>
      </c>
    </row>
    <row r="2542" spans="1:5" x14ac:dyDescent="0.25">
      <c r="A2542" s="3" t="s">
        <v>5</v>
      </c>
      <c r="B2542" s="3" t="s">
        <v>703</v>
      </c>
      <c r="C2542" s="3" t="s">
        <v>234</v>
      </c>
      <c r="D2542" s="4">
        <f>HYPERLINK("https://cao.dolgi.msk.ru/account/1060766125/", 1060766125)</f>
        <v>1060766125</v>
      </c>
      <c r="E2542" s="3">
        <v>9688.66</v>
      </c>
    </row>
    <row r="2543" spans="1:5" x14ac:dyDescent="0.25">
      <c r="A2543" s="3" t="s">
        <v>5</v>
      </c>
      <c r="B2543" s="3" t="s">
        <v>703</v>
      </c>
      <c r="C2543" s="3" t="s">
        <v>236</v>
      </c>
      <c r="D2543" s="4">
        <f>HYPERLINK("https://cao.dolgi.msk.ru/account/1060766141/", 1060766141)</f>
        <v>1060766141</v>
      </c>
      <c r="E2543" s="3">
        <v>16068.24</v>
      </c>
    </row>
    <row r="2544" spans="1:5" x14ac:dyDescent="0.25">
      <c r="A2544" s="3" t="s">
        <v>5</v>
      </c>
      <c r="B2544" s="3" t="s">
        <v>703</v>
      </c>
      <c r="C2544" s="3" t="s">
        <v>251</v>
      </c>
      <c r="D2544" s="4">
        <f>HYPERLINK("https://cao.dolgi.msk.ru/account/1060766344/", 1060766344)</f>
        <v>1060766344</v>
      </c>
      <c r="E2544" s="3">
        <v>6463.25</v>
      </c>
    </row>
    <row r="2545" spans="1:5" x14ac:dyDescent="0.25">
      <c r="A2545" s="3" t="s">
        <v>5</v>
      </c>
      <c r="B2545" s="3" t="s">
        <v>703</v>
      </c>
      <c r="C2545" s="3" t="s">
        <v>269</v>
      </c>
      <c r="D2545" s="4">
        <f>HYPERLINK("https://cao.dolgi.msk.ru/account/1060767355/", 1060767355)</f>
        <v>1060767355</v>
      </c>
      <c r="E2545" s="3">
        <v>29207.88</v>
      </c>
    </row>
    <row r="2546" spans="1:5" x14ac:dyDescent="0.25">
      <c r="A2546" s="3" t="s">
        <v>5</v>
      </c>
      <c r="B2546" s="3" t="s">
        <v>703</v>
      </c>
      <c r="C2546" s="3" t="s">
        <v>286</v>
      </c>
      <c r="D2546" s="4">
        <f>HYPERLINK("https://cao.dolgi.msk.ru/account/1060766694/", 1060766694)</f>
        <v>1060766694</v>
      </c>
      <c r="E2546" s="3">
        <v>9558.0300000000007</v>
      </c>
    </row>
    <row r="2547" spans="1:5" x14ac:dyDescent="0.25">
      <c r="A2547" s="3" t="s">
        <v>5</v>
      </c>
      <c r="B2547" s="3" t="s">
        <v>703</v>
      </c>
      <c r="C2547" s="3" t="s">
        <v>291</v>
      </c>
      <c r="D2547" s="4">
        <f>HYPERLINK("https://cao.dolgi.msk.ru/account/1060766758/", 1060766758)</f>
        <v>1060766758</v>
      </c>
      <c r="E2547" s="3">
        <v>9605.74</v>
      </c>
    </row>
    <row r="2548" spans="1:5" x14ac:dyDescent="0.25">
      <c r="A2548" s="3" t="s">
        <v>5</v>
      </c>
      <c r="B2548" s="3" t="s">
        <v>703</v>
      </c>
      <c r="C2548" s="3" t="s">
        <v>295</v>
      </c>
      <c r="D2548" s="4">
        <f>HYPERLINK("https://cao.dolgi.msk.ru/account/1060766803/", 1060766803)</f>
        <v>1060766803</v>
      </c>
      <c r="E2548" s="3">
        <v>2662.11</v>
      </c>
    </row>
    <row r="2549" spans="1:5" x14ac:dyDescent="0.25">
      <c r="A2549" s="3" t="s">
        <v>5</v>
      </c>
      <c r="B2549" s="3" t="s">
        <v>703</v>
      </c>
      <c r="C2549" s="3" t="s">
        <v>68</v>
      </c>
      <c r="D2549" s="4">
        <f>HYPERLINK("https://cao.dolgi.msk.ru/account/1060766926/", 1060766926)</f>
        <v>1060766926</v>
      </c>
      <c r="E2549" s="3">
        <v>8584.2199999999993</v>
      </c>
    </row>
    <row r="2550" spans="1:5" x14ac:dyDescent="0.25">
      <c r="A2550" s="3" t="s">
        <v>5</v>
      </c>
      <c r="B2550" s="3" t="s">
        <v>704</v>
      </c>
      <c r="C2550" s="3" t="s">
        <v>14</v>
      </c>
      <c r="D2550" s="4">
        <f>HYPERLINK("https://cao.dolgi.msk.ru/account/1060624071/", 1060624071)</f>
        <v>1060624071</v>
      </c>
      <c r="E2550" s="3">
        <v>6695.65</v>
      </c>
    </row>
    <row r="2551" spans="1:5" x14ac:dyDescent="0.25">
      <c r="A2551" s="3" t="s">
        <v>5</v>
      </c>
      <c r="B2551" s="3" t="s">
        <v>705</v>
      </c>
      <c r="C2551" s="3" t="s">
        <v>9</v>
      </c>
      <c r="D2551" s="4">
        <f>HYPERLINK("https://cao.dolgi.msk.ru/account/1060624231/", 1060624231)</f>
        <v>1060624231</v>
      </c>
      <c r="E2551" s="3">
        <v>24638.35</v>
      </c>
    </row>
    <row r="2552" spans="1:5" x14ac:dyDescent="0.25">
      <c r="A2552" s="3" t="s">
        <v>5</v>
      </c>
      <c r="B2552" s="3" t="s">
        <v>705</v>
      </c>
      <c r="C2552" s="3" t="s">
        <v>89</v>
      </c>
      <c r="D2552" s="4">
        <f>HYPERLINK("https://cao.dolgi.msk.ru/account/1060624258/", 1060624258)</f>
        <v>1060624258</v>
      </c>
      <c r="E2552" s="3">
        <v>25340.57</v>
      </c>
    </row>
    <row r="2553" spans="1:5" x14ac:dyDescent="0.25">
      <c r="A2553" s="3" t="s">
        <v>5</v>
      </c>
      <c r="B2553" s="3" t="s">
        <v>705</v>
      </c>
      <c r="C2553" s="3" t="s">
        <v>105</v>
      </c>
      <c r="D2553" s="4">
        <f>HYPERLINK("https://cao.dolgi.msk.ru/account/1060624266/", 1060624266)</f>
        <v>1060624266</v>
      </c>
      <c r="E2553" s="3">
        <v>52054.69</v>
      </c>
    </row>
    <row r="2554" spans="1:5" x14ac:dyDescent="0.25">
      <c r="A2554" s="3" t="s">
        <v>5</v>
      </c>
      <c r="B2554" s="3" t="s">
        <v>705</v>
      </c>
      <c r="C2554" s="3" t="s">
        <v>137</v>
      </c>
      <c r="D2554" s="4">
        <f>HYPERLINK("https://cao.dolgi.msk.ru/account/1060624362/", 1060624362)</f>
        <v>1060624362</v>
      </c>
      <c r="E2554" s="3">
        <v>277920.28000000003</v>
      </c>
    </row>
    <row r="2555" spans="1:5" x14ac:dyDescent="0.25">
      <c r="A2555" s="3" t="s">
        <v>5</v>
      </c>
      <c r="B2555" s="3" t="s">
        <v>705</v>
      </c>
      <c r="C2555" s="3" t="s">
        <v>10</v>
      </c>
      <c r="D2555" s="4">
        <f>HYPERLINK("https://cao.dolgi.msk.ru/account/1060624485/", 1060624485)</f>
        <v>1060624485</v>
      </c>
      <c r="E2555" s="3">
        <v>32916.370000000003</v>
      </c>
    </row>
    <row r="2556" spans="1:5" x14ac:dyDescent="0.25">
      <c r="A2556" s="3" t="s">
        <v>5</v>
      </c>
      <c r="B2556" s="3" t="s">
        <v>705</v>
      </c>
      <c r="C2556" s="3" t="s">
        <v>14</v>
      </c>
      <c r="D2556" s="4">
        <f>HYPERLINK("https://cao.dolgi.msk.ru/account/1060624522/", 1060624522)</f>
        <v>1060624522</v>
      </c>
      <c r="E2556" s="3">
        <v>25598.19</v>
      </c>
    </row>
    <row r="2557" spans="1:5" x14ac:dyDescent="0.25">
      <c r="A2557" s="3" t="s">
        <v>5</v>
      </c>
      <c r="B2557" s="3" t="s">
        <v>705</v>
      </c>
      <c r="C2557" s="3" t="s">
        <v>25</v>
      </c>
      <c r="D2557" s="4">
        <f>HYPERLINK("https://cao.dolgi.msk.ru/account/1060624653/", 1060624653)</f>
        <v>1060624653</v>
      </c>
      <c r="E2557" s="3">
        <v>5723.05</v>
      </c>
    </row>
    <row r="2558" spans="1:5" x14ac:dyDescent="0.25">
      <c r="A2558" s="3" t="s">
        <v>5</v>
      </c>
      <c r="B2558" s="3" t="s">
        <v>705</v>
      </c>
      <c r="C2558" s="3" t="s">
        <v>26</v>
      </c>
      <c r="D2558" s="4">
        <f>HYPERLINK("https://cao.dolgi.msk.ru/account/1060624661/", 1060624661)</f>
        <v>1060624661</v>
      </c>
      <c r="E2558" s="3">
        <v>12738.64</v>
      </c>
    </row>
    <row r="2559" spans="1:5" x14ac:dyDescent="0.25">
      <c r="A2559" s="3" t="s">
        <v>5</v>
      </c>
      <c r="B2559" s="3" t="s">
        <v>705</v>
      </c>
      <c r="C2559" s="3" t="s">
        <v>27</v>
      </c>
      <c r="D2559" s="4">
        <f>HYPERLINK("https://cao.dolgi.msk.ru/account/1060624688/", 1060624688)</f>
        <v>1060624688</v>
      </c>
      <c r="E2559" s="3">
        <v>148835.74</v>
      </c>
    </row>
    <row r="2560" spans="1:5" x14ac:dyDescent="0.25">
      <c r="A2560" s="3" t="s">
        <v>5</v>
      </c>
      <c r="B2560" s="3" t="s">
        <v>705</v>
      </c>
      <c r="C2560" s="3" t="s">
        <v>31</v>
      </c>
      <c r="D2560" s="4">
        <f>HYPERLINK("https://cao.dolgi.msk.ru/account/1060624725/", 1060624725)</f>
        <v>1060624725</v>
      </c>
      <c r="E2560" s="3">
        <v>11715.91</v>
      </c>
    </row>
    <row r="2561" spans="1:5" x14ac:dyDescent="0.25">
      <c r="A2561" s="3" t="s">
        <v>5</v>
      </c>
      <c r="B2561" s="3" t="s">
        <v>705</v>
      </c>
      <c r="C2561" s="3" t="s">
        <v>64</v>
      </c>
      <c r="D2561" s="4">
        <f>HYPERLINK("https://cao.dolgi.msk.ru/account/1060625234/", 1060625234)</f>
        <v>1060625234</v>
      </c>
      <c r="E2561" s="3">
        <v>17027.72</v>
      </c>
    </row>
    <row r="2562" spans="1:5" x14ac:dyDescent="0.25">
      <c r="A2562" s="3" t="s">
        <v>5</v>
      </c>
      <c r="B2562" s="3" t="s">
        <v>705</v>
      </c>
      <c r="C2562" s="3" t="s">
        <v>65</v>
      </c>
      <c r="D2562" s="4">
        <f>HYPERLINK("https://cao.dolgi.msk.ru/account/1060625242/", 1060625242)</f>
        <v>1060625242</v>
      </c>
      <c r="E2562" s="3">
        <v>8994.06</v>
      </c>
    </row>
    <row r="2563" spans="1:5" x14ac:dyDescent="0.25">
      <c r="A2563" s="3" t="s">
        <v>5</v>
      </c>
      <c r="B2563" s="3" t="s">
        <v>705</v>
      </c>
      <c r="C2563" s="3" t="s">
        <v>72</v>
      </c>
      <c r="D2563" s="4">
        <f>HYPERLINK("https://cao.dolgi.msk.ru/account/1060625285/", 1060625285)</f>
        <v>1060625285</v>
      </c>
      <c r="E2563" s="3">
        <v>22830.78</v>
      </c>
    </row>
    <row r="2564" spans="1:5" x14ac:dyDescent="0.25">
      <c r="A2564" s="3" t="s">
        <v>5</v>
      </c>
      <c r="B2564" s="3" t="s">
        <v>705</v>
      </c>
      <c r="C2564" s="3" t="s">
        <v>87</v>
      </c>
      <c r="D2564" s="4">
        <f>HYPERLINK("https://cao.dolgi.msk.ru/account/1060625509/", 1060625509)</f>
        <v>1060625509</v>
      </c>
      <c r="E2564" s="3">
        <v>205808.26</v>
      </c>
    </row>
    <row r="2565" spans="1:5" x14ac:dyDescent="0.25">
      <c r="A2565" s="3" t="s">
        <v>5</v>
      </c>
      <c r="B2565" s="3" t="s">
        <v>706</v>
      </c>
      <c r="C2565" s="3" t="s">
        <v>133</v>
      </c>
      <c r="D2565" s="4">
        <f>HYPERLINK("https://cao.dolgi.msk.ru/account/1060382236/", 1060382236)</f>
        <v>1060382236</v>
      </c>
      <c r="E2565" s="3">
        <v>106912.21</v>
      </c>
    </row>
    <row r="2566" spans="1:5" x14ac:dyDescent="0.25">
      <c r="A2566" s="3" t="s">
        <v>5</v>
      </c>
      <c r="B2566" s="3" t="s">
        <v>706</v>
      </c>
      <c r="C2566" s="3" t="s">
        <v>14</v>
      </c>
      <c r="D2566" s="4">
        <f>HYPERLINK("https://cao.dolgi.msk.ru/account/1060382447/", 1060382447)</f>
        <v>1060382447</v>
      </c>
      <c r="E2566" s="3">
        <v>16473.87</v>
      </c>
    </row>
    <row r="2567" spans="1:5" x14ac:dyDescent="0.25">
      <c r="A2567" s="3" t="s">
        <v>5</v>
      </c>
      <c r="B2567" s="3" t="s">
        <v>706</v>
      </c>
      <c r="C2567" s="3" t="s">
        <v>28</v>
      </c>
      <c r="D2567" s="4">
        <f>HYPERLINK("https://cao.dolgi.msk.ru/account/1060382623/", 1060382623)</f>
        <v>1060382623</v>
      </c>
      <c r="E2567" s="3">
        <v>12380.06</v>
      </c>
    </row>
    <row r="2568" spans="1:5" x14ac:dyDescent="0.25">
      <c r="A2568" s="3" t="s">
        <v>5</v>
      </c>
      <c r="B2568" s="3" t="s">
        <v>706</v>
      </c>
      <c r="C2568" s="3" t="s">
        <v>33</v>
      </c>
      <c r="D2568" s="4">
        <f>HYPERLINK("https://cao.dolgi.msk.ru/account/1060382674/", 1060382674)</f>
        <v>1060382674</v>
      </c>
      <c r="E2568" s="3">
        <v>35246.660000000003</v>
      </c>
    </row>
    <row r="2569" spans="1:5" x14ac:dyDescent="0.25">
      <c r="A2569" s="3" t="s">
        <v>5</v>
      </c>
      <c r="B2569" s="3" t="s">
        <v>706</v>
      </c>
      <c r="C2569" s="3" t="s">
        <v>42</v>
      </c>
      <c r="D2569" s="4">
        <f>HYPERLINK("https://cao.dolgi.msk.ru/account/1060382826/", 1060382826)</f>
        <v>1060382826</v>
      </c>
      <c r="E2569" s="3">
        <v>9236.93</v>
      </c>
    </row>
    <row r="2570" spans="1:5" x14ac:dyDescent="0.25">
      <c r="A2570" s="3" t="s">
        <v>5</v>
      </c>
      <c r="B2570" s="3" t="s">
        <v>706</v>
      </c>
      <c r="C2570" s="3" t="s">
        <v>60</v>
      </c>
      <c r="D2570" s="4">
        <f>HYPERLINK("https://cao.dolgi.msk.ru/account/1060383079/", 1060383079)</f>
        <v>1060383079</v>
      </c>
      <c r="E2570" s="3">
        <v>14479.07</v>
      </c>
    </row>
    <row r="2571" spans="1:5" x14ac:dyDescent="0.25">
      <c r="A2571" s="3" t="s">
        <v>5</v>
      </c>
      <c r="B2571" s="3" t="s">
        <v>706</v>
      </c>
      <c r="C2571" s="3" t="s">
        <v>77</v>
      </c>
      <c r="D2571" s="4">
        <f>HYPERLINK("https://cao.dolgi.msk.ru/account/1060383239/", 1060383239)</f>
        <v>1060383239</v>
      </c>
      <c r="E2571" s="3">
        <v>10235.86</v>
      </c>
    </row>
    <row r="2572" spans="1:5" x14ac:dyDescent="0.25">
      <c r="A2572" s="3" t="s">
        <v>5</v>
      </c>
      <c r="B2572" s="3" t="s">
        <v>706</v>
      </c>
      <c r="C2572" s="3" t="s">
        <v>82</v>
      </c>
      <c r="D2572" s="4">
        <f>HYPERLINK("https://cao.dolgi.msk.ru/account/1060383319/", 1060383319)</f>
        <v>1060383319</v>
      </c>
      <c r="E2572" s="3">
        <v>7606.8</v>
      </c>
    </row>
    <row r="2573" spans="1:5" x14ac:dyDescent="0.25">
      <c r="A2573" s="3" t="s">
        <v>5</v>
      </c>
      <c r="B2573" s="3" t="s">
        <v>706</v>
      </c>
      <c r="C2573" s="3" t="s">
        <v>84</v>
      </c>
      <c r="D2573" s="4">
        <f>HYPERLINK("https://cao.dolgi.msk.ru/account/1060383335/", 1060383335)</f>
        <v>1060383335</v>
      </c>
      <c r="E2573" s="3">
        <v>6747.43</v>
      </c>
    </row>
    <row r="2574" spans="1:5" x14ac:dyDescent="0.25">
      <c r="A2574" s="3" t="s">
        <v>5</v>
      </c>
      <c r="B2574" s="3" t="s">
        <v>706</v>
      </c>
      <c r="C2574" s="3" t="s">
        <v>87</v>
      </c>
      <c r="D2574" s="4">
        <f>HYPERLINK("https://cao.dolgi.msk.ru/account/1060383378/", 1060383378)</f>
        <v>1060383378</v>
      </c>
      <c r="E2574" s="3">
        <v>22267.279999999999</v>
      </c>
    </row>
    <row r="2575" spans="1:5" x14ac:dyDescent="0.25">
      <c r="A2575" s="3" t="s">
        <v>5</v>
      </c>
      <c r="B2575" s="3" t="s">
        <v>706</v>
      </c>
      <c r="C2575" s="3" t="s">
        <v>144</v>
      </c>
      <c r="D2575" s="4">
        <f>HYPERLINK("https://cao.dolgi.msk.ru/account/1060383394/", 1060383394)</f>
        <v>1060383394</v>
      </c>
      <c r="E2575" s="3">
        <v>8588.6</v>
      </c>
    </row>
    <row r="2576" spans="1:5" x14ac:dyDescent="0.25">
      <c r="A2576" s="3" t="s">
        <v>5</v>
      </c>
      <c r="B2576" s="3" t="s">
        <v>706</v>
      </c>
      <c r="C2576" s="3" t="s">
        <v>91</v>
      </c>
      <c r="D2576" s="4">
        <f>HYPERLINK("https://cao.dolgi.msk.ru/account/1060383415/", 1060383415)</f>
        <v>1060383415</v>
      </c>
      <c r="E2576" s="3">
        <v>145368.16</v>
      </c>
    </row>
    <row r="2577" spans="1:5" x14ac:dyDescent="0.25">
      <c r="A2577" s="3" t="s">
        <v>5</v>
      </c>
      <c r="B2577" s="3" t="s">
        <v>706</v>
      </c>
      <c r="C2577" s="3" t="s">
        <v>95</v>
      </c>
      <c r="D2577" s="4">
        <f>HYPERLINK("https://cao.dolgi.msk.ru/account/1060383474/", 1060383474)</f>
        <v>1060383474</v>
      </c>
      <c r="E2577" s="3">
        <v>18593.52</v>
      </c>
    </row>
    <row r="2578" spans="1:5" x14ac:dyDescent="0.25">
      <c r="A2578" s="3" t="s">
        <v>5</v>
      </c>
      <c r="B2578" s="3" t="s">
        <v>706</v>
      </c>
      <c r="C2578" s="3" t="s">
        <v>96</v>
      </c>
      <c r="D2578" s="4">
        <f>HYPERLINK("https://cao.dolgi.msk.ru/account/1060884404/", 1060884404)</f>
        <v>1060884404</v>
      </c>
      <c r="E2578" s="3">
        <v>9628.7000000000007</v>
      </c>
    </row>
    <row r="2579" spans="1:5" x14ac:dyDescent="0.25">
      <c r="A2579" s="3" t="s">
        <v>5</v>
      </c>
      <c r="B2579" s="3" t="s">
        <v>706</v>
      </c>
      <c r="C2579" s="3" t="s">
        <v>99</v>
      </c>
      <c r="D2579" s="4">
        <f>HYPERLINK("https://cao.dolgi.msk.ru/account/1060383546/", 1060383546)</f>
        <v>1060383546</v>
      </c>
      <c r="E2579" s="3">
        <v>28535.37</v>
      </c>
    </row>
    <row r="2580" spans="1:5" x14ac:dyDescent="0.25">
      <c r="A2580" s="3" t="s">
        <v>5</v>
      </c>
      <c r="B2580" s="3" t="s">
        <v>706</v>
      </c>
      <c r="C2580" s="3" t="s">
        <v>100</v>
      </c>
      <c r="D2580" s="4">
        <f>HYPERLINK("https://cao.dolgi.msk.ru/account/1060383554/", 1060383554)</f>
        <v>1060383554</v>
      </c>
      <c r="E2580" s="3">
        <v>6858.52</v>
      </c>
    </row>
    <row r="2581" spans="1:5" x14ac:dyDescent="0.25">
      <c r="A2581" s="3" t="s">
        <v>5</v>
      </c>
      <c r="B2581" s="3" t="s">
        <v>707</v>
      </c>
      <c r="C2581" s="3" t="s">
        <v>148</v>
      </c>
      <c r="D2581" s="4">
        <f>HYPERLINK("https://cao.dolgi.msk.ru/account/1060375378/", 1060375378)</f>
        <v>1060375378</v>
      </c>
      <c r="E2581" s="3">
        <v>12305.34</v>
      </c>
    </row>
    <row r="2582" spans="1:5" x14ac:dyDescent="0.25">
      <c r="A2582" s="3" t="s">
        <v>5</v>
      </c>
      <c r="B2582" s="3" t="s">
        <v>707</v>
      </c>
      <c r="C2582" s="3" t="s">
        <v>104</v>
      </c>
      <c r="D2582" s="4">
        <f>HYPERLINK("https://cao.dolgi.msk.ru/account/1060375386/", 1060375386)</f>
        <v>1060375386</v>
      </c>
      <c r="E2582" s="3">
        <v>13251.06</v>
      </c>
    </row>
    <row r="2583" spans="1:5" x14ac:dyDescent="0.25">
      <c r="A2583" s="3" t="s">
        <v>5</v>
      </c>
      <c r="B2583" s="3" t="s">
        <v>707</v>
      </c>
      <c r="C2583" s="3" t="s">
        <v>109</v>
      </c>
      <c r="D2583" s="4">
        <f>HYPERLINK("https://cao.dolgi.msk.ru/account/1060375458/", 1060375458)</f>
        <v>1060375458</v>
      </c>
      <c r="E2583" s="3">
        <v>4831.16</v>
      </c>
    </row>
    <row r="2584" spans="1:5" x14ac:dyDescent="0.25">
      <c r="A2584" s="3" t="s">
        <v>5</v>
      </c>
      <c r="B2584" s="3" t="s">
        <v>707</v>
      </c>
      <c r="C2584" s="3" t="s">
        <v>113</v>
      </c>
      <c r="D2584" s="4">
        <f>HYPERLINK("https://cao.dolgi.msk.ru/account/1060375503/", 1060375503)</f>
        <v>1060375503</v>
      </c>
      <c r="E2584" s="3">
        <v>7492.14</v>
      </c>
    </row>
    <row r="2585" spans="1:5" x14ac:dyDescent="0.25">
      <c r="A2585" s="3" t="s">
        <v>5</v>
      </c>
      <c r="B2585" s="3" t="s">
        <v>707</v>
      </c>
      <c r="C2585" s="3" t="s">
        <v>114</v>
      </c>
      <c r="D2585" s="4">
        <f>HYPERLINK("https://cao.dolgi.msk.ru/account/1069109914/", 1069109914)</f>
        <v>1069109914</v>
      </c>
      <c r="E2585" s="3">
        <v>42901.9</v>
      </c>
    </row>
    <row r="2586" spans="1:5" x14ac:dyDescent="0.25">
      <c r="A2586" s="3" t="s">
        <v>5</v>
      </c>
      <c r="B2586" s="3" t="s">
        <v>707</v>
      </c>
      <c r="C2586" s="3" t="s">
        <v>115</v>
      </c>
      <c r="D2586" s="4">
        <f>HYPERLINK("https://cao.dolgi.msk.ru/account/1060375538/", 1060375538)</f>
        <v>1060375538</v>
      </c>
      <c r="E2586" s="3">
        <v>28886.12</v>
      </c>
    </row>
    <row r="2587" spans="1:5" x14ac:dyDescent="0.25">
      <c r="A2587" s="3" t="s">
        <v>5</v>
      </c>
      <c r="B2587" s="3" t="s">
        <v>707</v>
      </c>
      <c r="C2587" s="3" t="s">
        <v>155</v>
      </c>
      <c r="D2587" s="4">
        <f>HYPERLINK("https://cao.dolgi.msk.ru/account/1060375642/", 1060375642)</f>
        <v>1060375642</v>
      </c>
      <c r="E2587" s="3">
        <v>5323.71</v>
      </c>
    </row>
    <row r="2588" spans="1:5" x14ac:dyDescent="0.25">
      <c r="A2588" s="3" t="s">
        <v>5</v>
      </c>
      <c r="B2588" s="3" t="s">
        <v>707</v>
      </c>
      <c r="C2588" s="3" t="s">
        <v>166</v>
      </c>
      <c r="D2588" s="4">
        <f>HYPERLINK("https://cao.dolgi.msk.ru/account/1060375773/", 1060375773)</f>
        <v>1060375773</v>
      </c>
      <c r="E2588" s="3">
        <v>18288.900000000001</v>
      </c>
    </row>
    <row r="2589" spans="1:5" x14ac:dyDescent="0.25">
      <c r="A2589" s="3" t="s">
        <v>5</v>
      </c>
      <c r="B2589" s="3" t="s">
        <v>707</v>
      </c>
      <c r="C2589" s="3" t="s">
        <v>170</v>
      </c>
      <c r="D2589" s="4">
        <f>HYPERLINK("https://cao.dolgi.msk.ru/account/1060375837/", 1060375837)</f>
        <v>1060375837</v>
      </c>
      <c r="E2589" s="3">
        <v>21286.2</v>
      </c>
    </row>
    <row r="2590" spans="1:5" x14ac:dyDescent="0.25">
      <c r="A2590" s="3" t="s">
        <v>5</v>
      </c>
      <c r="B2590" s="3" t="s">
        <v>707</v>
      </c>
      <c r="C2590" s="3" t="s">
        <v>172</v>
      </c>
      <c r="D2590" s="4">
        <f>HYPERLINK("https://cao.dolgi.msk.ru/account/1060375861/", 1060375861)</f>
        <v>1060375861</v>
      </c>
      <c r="E2590" s="3">
        <v>66853.52</v>
      </c>
    </row>
    <row r="2591" spans="1:5" x14ac:dyDescent="0.25">
      <c r="A2591" s="3" t="s">
        <v>5</v>
      </c>
      <c r="B2591" s="3" t="s">
        <v>707</v>
      </c>
      <c r="C2591" s="3" t="s">
        <v>177</v>
      </c>
      <c r="D2591" s="4">
        <f>HYPERLINK("https://cao.dolgi.msk.ru/account/1060375933/", 1060375933)</f>
        <v>1060375933</v>
      </c>
      <c r="E2591" s="3">
        <v>17751.89</v>
      </c>
    </row>
    <row r="2592" spans="1:5" x14ac:dyDescent="0.25">
      <c r="A2592" s="3" t="s">
        <v>5</v>
      </c>
      <c r="B2592" s="3" t="s">
        <v>707</v>
      </c>
      <c r="C2592" s="3" t="s">
        <v>181</v>
      </c>
      <c r="D2592" s="4">
        <f>HYPERLINK("https://cao.dolgi.msk.ru/account/1060375984/", 1060375984)</f>
        <v>1060375984</v>
      </c>
      <c r="E2592" s="3">
        <v>25382.65</v>
      </c>
    </row>
    <row r="2593" spans="1:5" x14ac:dyDescent="0.25">
      <c r="A2593" s="3" t="s">
        <v>5</v>
      </c>
      <c r="B2593" s="3" t="s">
        <v>708</v>
      </c>
      <c r="C2593" s="3" t="s">
        <v>130</v>
      </c>
      <c r="D2593" s="4">
        <f>HYPERLINK("https://cao.dolgi.msk.ru/account/1060888368/", 1060888368)</f>
        <v>1060888368</v>
      </c>
      <c r="E2593" s="3">
        <v>1364.18</v>
      </c>
    </row>
    <row r="2594" spans="1:5" x14ac:dyDescent="0.25">
      <c r="A2594" s="3" t="s">
        <v>5</v>
      </c>
      <c r="B2594" s="3" t="s">
        <v>708</v>
      </c>
      <c r="C2594" s="3" t="s">
        <v>130</v>
      </c>
      <c r="D2594" s="4">
        <f>HYPERLINK("https://cao.dolgi.msk.ru/account/1060888376/", 1060888376)</f>
        <v>1060888376</v>
      </c>
      <c r="E2594" s="3">
        <v>236955.54</v>
      </c>
    </row>
    <row r="2595" spans="1:5" x14ac:dyDescent="0.25">
      <c r="A2595" s="3" t="s">
        <v>5</v>
      </c>
      <c r="B2595" s="3" t="s">
        <v>708</v>
      </c>
      <c r="C2595" s="3" t="s">
        <v>130</v>
      </c>
      <c r="D2595" s="4">
        <f>HYPERLINK("https://cao.dolgi.msk.ru/account/1060888384/", 1060888384)</f>
        <v>1060888384</v>
      </c>
      <c r="E2595" s="3">
        <v>13384.22</v>
      </c>
    </row>
    <row r="2596" spans="1:5" x14ac:dyDescent="0.25">
      <c r="A2596" s="3" t="s">
        <v>5</v>
      </c>
      <c r="B2596" s="3" t="s">
        <v>709</v>
      </c>
      <c r="C2596" s="3" t="s">
        <v>89</v>
      </c>
      <c r="D2596" s="4">
        <f>HYPERLINK("https://cao.dolgi.msk.ru/account/1060884789/", 1060884789)</f>
        <v>1060884789</v>
      </c>
      <c r="E2596" s="3">
        <v>50608.51</v>
      </c>
    </row>
    <row r="2597" spans="1:5" x14ac:dyDescent="0.25">
      <c r="A2597" s="3" t="s">
        <v>5</v>
      </c>
      <c r="B2597" s="3" t="s">
        <v>710</v>
      </c>
      <c r="C2597" s="3" t="s">
        <v>30</v>
      </c>
      <c r="D2597" s="4">
        <f>HYPERLINK("https://cao.dolgi.msk.ru/account/1060518367/", 1060518367)</f>
        <v>1060518367</v>
      </c>
      <c r="E2597" s="3">
        <v>4900.1499999999996</v>
      </c>
    </row>
    <row r="2598" spans="1:5" x14ac:dyDescent="0.25">
      <c r="A2598" s="3" t="s">
        <v>5</v>
      </c>
      <c r="B2598" s="3" t="s">
        <v>710</v>
      </c>
      <c r="C2598" s="3" t="s">
        <v>135</v>
      </c>
      <c r="D2598" s="4">
        <f>HYPERLINK("https://cao.dolgi.msk.ru/account/1060518471/", 1060518471)</f>
        <v>1060518471</v>
      </c>
      <c r="E2598" s="3">
        <v>21742.62</v>
      </c>
    </row>
    <row r="2599" spans="1:5" x14ac:dyDescent="0.25">
      <c r="A2599" s="3" t="s">
        <v>5</v>
      </c>
      <c r="B2599" s="3" t="s">
        <v>710</v>
      </c>
      <c r="C2599" s="3" t="s">
        <v>137</v>
      </c>
      <c r="D2599" s="4">
        <f>HYPERLINK("https://cao.dolgi.msk.ru/account/1060518519/", 1060518519)</f>
        <v>1060518519</v>
      </c>
      <c r="E2599" s="3">
        <v>31234.79</v>
      </c>
    </row>
    <row r="2600" spans="1:5" x14ac:dyDescent="0.25">
      <c r="A2600" s="3" t="s">
        <v>5</v>
      </c>
      <c r="B2600" s="3" t="s">
        <v>710</v>
      </c>
      <c r="C2600" s="3" t="s">
        <v>7</v>
      </c>
      <c r="D2600" s="4">
        <f>HYPERLINK("https://cao.dolgi.msk.ru/account/1060518594/", 1060518594)</f>
        <v>1060518594</v>
      </c>
      <c r="E2600" s="3">
        <v>8840.2999999999993</v>
      </c>
    </row>
    <row r="2601" spans="1:5" x14ac:dyDescent="0.25">
      <c r="A2601" s="3" t="s">
        <v>5</v>
      </c>
      <c r="B2601" s="3" t="s">
        <v>710</v>
      </c>
      <c r="C2601" s="3" t="s">
        <v>26</v>
      </c>
      <c r="D2601" s="4">
        <f>HYPERLINK("https://cao.dolgi.msk.ru/account/1060518818/", 1060518818)</f>
        <v>1060518818</v>
      </c>
      <c r="E2601" s="3">
        <v>4607.9799999999996</v>
      </c>
    </row>
    <row r="2602" spans="1:5" x14ac:dyDescent="0.25">
      <c r="A2602" s="3" t="s">
        <v>5</v>
      </c>
      <c r="B2602" s="3" t="s">
        <v>710</v>
      </c>
      <c r="C2602" s="3" t="s">
        <v>31</v>
      </c>
      <c r="D2602" s="4">
        <f>HYPERLINK("https://cao.dolgi.msk.ru/account/1060520424/", 1060520424)</f>
        <v>1060520424</v>
      </c>
      <c r="E2602" s="3">
        <v>5568.31</v>
      </c>
    </row>
    <row r="2603" spans="1:5" x14ac:dyDescent="0.25">
      <c r="A2603" s="3" t="s">
        <v>5</v>
      </c>
      <c r="B2603" s="3" t="s">
        <v>710</v>
      </c>
      <c r="C2603" s="3" t="s">
        <v>63</v>
      </c>
      <c r="D2603" s="4">
        <f>HYPERLINK("https://cao.dolgi.msk.ru/account/1060519247/", 1060519247)</f>
        <v>1060519247</v>
      </c>
      <c r="E2603" s="3">
        <v>23643.98</v>
      </c>
    </row>
    <row r="2604" spans="1:5" x14ac:dyDescent="0.25">
      <c r="A2604" s="3" t="s">
        <v>5</v>
      </c>
      <c r="B2604" s="3" t="s">
        <v>710</v>
      </c>
      <c r="C2604" s="3" t="s">
        <v>72</v>
      </c>
      <c r="D2604" s="4">
        <f>HYPERLINK("https://cao.dolgi.msk.ru/account/1060519298/", 1060519298)</f>
        <v>1060519298</v>
      </c>
      <c r="E2604" s="3">
        <v>11737.23</v>
      </c>
    </row>
    <row r="2605" spans="1:5" x14ac:dyDescent="0.25">
      <c r="A2605" s="3" t="s">
        <v>5</v>
      </c>
      <c r="B2605" s="3" t="s">
        <v>710</v>
      </c>
      <c r="C2605" s="3" t="s">
        <v>81</v>
      </c>
      <c r="D2605" s="4">
        <f>HYPERLINK("https://cao.dolgi.msk.ru/account/1060519407/", 1060519407)</f>
        <v>1060519407</v>
      </c>
      <c r="E2605" s="3">
        <v>2740.09</v>
      </c>
    </row>
    <row r="2606" spans="1:5" x14ac:dyDescent="0.25">
      <c r="A2606" s="3" t="s">
        <v>5</v>
      </c>
      <c r="B2606" s="3" t="s">
        <v>710</v>
      </c>
      <c r="C2606" s="3" t="s">
        <v>95</v>
      </c>
      <c r="D2606" s="4">
        <f>HYPERLINK("https://cao.dolgi.msk.ru/account/1060519589/", 1060519589)</f>
        <v>1060519589</v>
      </c>
      <c r="E2606" s="3">
        <v>5988.57</v>
      </c>
    </row>
    <row r="2607" spans="1:5" x14ac:dyDescent="0.25">
      <c r="A2607" s="3" t="s">
        <v>5</v>
      </c>
      <c r="B2607" s="3" t="s">
        <v>710</v>
      </c>
      <c r="C2607" s="3" t="s">
        <v>100</v>
      </c>
      <c r="D2607" s="4">
        <f>HYPERLINK("https://cao.dolgi.msk.ru/account/1060519642/", 1060519642)</f>
        <v>1060519642</v>
      </c>
      <c r="E2607" s="3">
        <v>4776.33</v>
      </c>
    </row>
    <row r="2608" spans="1:5" x14ac:dyDescent="0.25">
      <c r="A2608" s="3" t="s">
        <v>5</v>
      </c>
      <c r="B2608" s="3" t="s">
        <v>710</v>
      </c>
      <c r="C2608" s="3" t="s">
        <v>151</v>
      </c>
      <c r="D2608" s="4">
        <f>HYPERLINK("https://cao.dolgi.msk.ru/account/1060519925/", 1060519925)</f>
        <v>1060519925</v>
      </c>
      <c r="E2608" s="3">
        <v>11927.58</v>
      </c>
    </row>
    <row r="2609" spans="1:5" x14ac:dyDescent="0.25">
      <c r="A2609" s="3" t="s">
        <v>5</v>
      </c>
      <c r="B2609" s="3" t="s">
        <v>710</v>
      </c>
      <c r="C2609" s="3" t="s">
        <v>152</v>
      </c>
      <c r="D2609" s="4">
        <f>HYPERLINK("https://cao.dolgi.msk.ru/account/1060519933/", 1060519933)</f>
        <v>1060519933</v>
      </c>
      <c r="E2609" s="3">
        <v>6081.1</v>
      </c>
    </row>
    <row r="2610" spans="1:5" x14ac:dyDescent="0.25">
      <c r="A2610" s="3" t="s">
        <v>5</v>
      </c>
      <c r="B2610" s="3" t="s">
        <v>710</v>
      </c>
      <c r="C2610" s="3" t="s">
        <v>159</v>
      </c>
      <c r="D2610" s="4">
        <f>HYPERLINK("https://cao.dolgi.msk.ru/account/1060520029/", 1060520029)</f>
        <v>1060520029</v>
      </c>
      <c r="E2610" s="3">
        <v>3570.89</v>
      </c>
    </row>
    <row r="2611" spans="1:5" x14ac:dyDescent="0.25">
      <c r="A2611" s="3" t="s">
        <v>5</v>
      </c>
      <c r="B2611" s="3" t="s">
        <v>711</v>
      </c>
      <c r="C2611" s="3" t="s">
        <v>15</v>
      </c>
      <c r="D2611" s="4">
        <f>HYPERLINK("https://cao.dolgi.msk.ru/account/1060520694/", 1060520694)</f>
        <v>1060520694</v>
      </c>
      <c r="E2611" s="3">
        <v>15858.5</v>
      </c>
    </row>
    <row r="2612" spans="1:5" x14ac:dyDescent="0.25">
      <c r="A2612" s="3" t="s">
        <v>5</v>
      </c>
      <c r="B2612" s="3" t="s">
        <v>711</v>
      </c>
      <c r="C2612" s="3" t="s">
        <v>41</v>
      </c>
      <c r="D2612" s="4">
        <f>HYPERLINK("https://cao.dolgi.msk.ru/account/1060520993/", 1060520993)</f>
        <v>1060520993</v>
      </c>
      <c r="E2612" s="3">
        <v>6119.45</v>
      </c>
    </row>
    <row r="2613" spans="1:5" x14ac:dyDescent="0.25">
      <c r="A2613" s="3" t="s">
        <v>5</v>
      </c>
      <c r="B2613" s="3" t="s">
        <v>711</v>
      </c>
      <c r="C2613" s="3" t="s">
        <v>83</v>
      </c>
      <c r="D2613" s="4">
        <f>HYPERLINK("https://cao.dolgi.msk.ru/account/1060521435/", 1060521435)</f>
        <v>1060521435</v>
      </c>
      <c r="E2613" s="3">
        <v>105231.99</v>
      </c>
    </row>
    <row r="2614" spans="1:5" x14ac:dyDescent="0.25">
      <c r="A2614" s="3" t="s">
        <v>5</v>
      </c>
      <c r="B2614" s="3" t="s">
        <v>712</v>
      </c>
      <c r="C2614" s="3" t="s">
        <v>131</v>
      </c>
      <c r="D2614" s="4">
        <f>HYPERLINK("https://cao.dolgi.msk.ru/account/1060521611/", 1060521611)</f>
        <v>1060521611</v>
      </c>
      <c r="E2614" s="3">
        <v>7101.15</v>
      </c>
    </row>
    <row r="2615" spans="1:5" x14ac:dyDescent="0.25">
      <c r="A2615" s="3" t="s">
        <v>5</v>
      </c>
      <c r="B2615" s="3" t="s">
        <v>712</v>
      </c>
      <c r="C2615" s="3" t="s">
        <v>133</v>
      </c>
      <c r="D2615" s="4">
        <f>HYPERLINK("https://cao.dolgi.msk.ru/account/1060521697/", 1060521697)</f>
        <v>1060521697</v>
      </c>
      <c r="E2615" s="3">
        <v>8934.7000000000007</v>
      </c>
    </row>
    <row r="2616" spans="1:5" x14ac:dyDescent="0.25">
      <c r="A2616" s="3" t="s">
        <v>5</v>
      </c>
      <c r="B2616" s="3" t="s">
        <v>712</v>
      </c>
      <c r="C2616" s="3" t="s">
        <v>17</v>
      </c>
      <c r="D2616" s="4">
        <f>HYPERLINK("https://cao.dolgi.msk.ru/account/1060521937/", 1060521937)</f>
        <v>1060521937</v>
      </c>
      <c r="E2616" s="3">
        <v>9263.44</v>
      </c>
    </row>
    <row r="2617" spans="1:5" x14ac:dyDescent="0.25">
      <c r="A2617" s="3" t="s">
        <v>5</v>
      </c>
      <c r="B2617" s="3" t="s">
        <v>712</v>
      </c>
      <c r="C2617" s="3" t="s">
        <v>20</v>
      </c>
      <c r="D2617" s="4">
        <f>HYPERLINK("https://cao.dolgi.msk.ru/account/1060521961/", 1060521961)</f>
        <v>1060521961</v>
      </c>
      <c r="E2617" s="3">
        <v>17762.25</v>
      </c>
    </row>
    <row r="2618" spans="1:5" x14ac:dyDescent="0.25">
      <c r="A2618" s="3" t="s">
        <v>5</v>
      </c>
      <c r="B2618" s="3" t="s">
        <v>712</v>
      </c>
      <c r="C2618" s="3" t="s">
        <v>31</v>
      </c>
      <c r="D2618" s="4">
        <f>HYPERLINK("https://cao.dolgi.msk.ru/account/1060522083/", 1060522083)</f>
        <v>1060522083</v>
      </c>
      <c r="E2618" s="3">
        <v>4338.28</v>
      </c>
    </row>
    <row r="2619" spans="1:5" x14ac:dyDescent="0.25">
      <c r="A2619" s="3" t="s">
        <v>5</v>
      </c>
      <c r="B2619" s="3" t="s">
        <v>712</v>
      </c>
      <c r="C2619" s="3" t="s">
        <v>47</v>
      </c>
      <c r="D2619" s="4">
        <f>HYPERLINK("https://cao.dolgi.msk.ru/account/1060522286/", 1060522286)</f>
        <v>1060522286</v>
      </c>
      <c r="E2619" s="3">
        <v>25561.03</v>
      </c>
    </row>
    <row r="2620" spans="1:5" x14ac:dyDescent="0.25">
      <c r="A2620" s="3" t="s">
        <v>5</v>
      </c>
      <c r="B2620" s="3" t="s">
        <v>712</v>
      </c>
      <c r="C2620" s="3" t="s">
        <v>60</v>
      </c>
      <c r="D2620" s="4">
        <f>HYPERLINK("https://cao.dolgi.msk.ru/account/1060522438/", 1060522438)</f>
        <v>1060522438</v>
      </c>
      <c r="E2620" s="3">
        <v>5680.09</v>
      </c>
    </row>
    <row r="2621" spans="1:5" x14ac:dyDescent="0.25">
      <c r="A2621" s="3" t="s">
        <v>5</v>
      </c>
      <c r="B2621" s="3" t="s">
        <v>712</v>
      </c>
      <c r="C2621" s="3" t="s">
        <v>63</v>
      </c>
      <c r="D2621" s="4">
        <f>HYPERLINK("https://cao.dolgi.msk.ru/account/1060522462/", 1060522462)</f>
        <v>1060522462</v>
      </c>
      <c r="E2621" s="3">
        <v>6382.99</v>
      </c>
    </row>
    <row r="2622" spans="1:5" x14ac:dyDescent="0.25">
      <c r="A2622" s="3" t="s">
        <v>5</v>
      </c>
      <c r="B2622" s="3" t="s">
        <v>712</v>
      </c>
      <c r="C2622" s="3" t="s">
        <v>76</v>
      </c>
      <c r="D2622" s="4">
        <f>HYPERLINK("https://cao.dolgi.msk.ru/account/1060522577/", 1060522577)</f>
        <v>1060522577</v>
      </c>
      <c r="E2622" s="3">
        <v>233184.43</v>
      </c>
    </row>
    <row r="2623" spans="1:5" x14ac:dyDescent="0.25">
      <c r="A2623" s="3" t="s">
        <v>5</v>
      </c>
      <c r="B2623" s="3" t="s">
        <v>712</v>
      </c>
      <c r="C2623" s="3" t="s">
        <v>87</v>
      </c>
      <c r="D2623" s="4">
        <f>HYPERLINK("https://cao.dolgi.msk.ru/account/1060522702/", 1060522702)</f>
        <v>1060522702</v>
      </c>
      <c r="E2623" s="3">
        <v>26101.01</v>
      </c>
    </row>
    <row r="2624" spans="1:5" x14ac:dyDescent="0.25">
      <c r="A2624" s="3" t="s">
        <v>5</v>
      </c>
      <c r="B2624" s="3" t="s">
        <v>712</v>
      </c>
      <c r="C2624" s="3" t="s">
        <v>88</v>
      </c>
      <c r="D2624" s="4">
        <f>HYPERLINK("https://cao.dolgi.msk.ru/account/1060522729/", 1060522729)</f>
        <v>1060522729</v>
      </c>
      <c r="E2624" s="3">
        <v>119327.06</v>
      </c>
    </row>
    <row r="2625" spans="1:5" x14ac:dyDescent="0.25">
      <c r="A2625" s="3" t="s">
        <v>5</v>
      </c>
      <c r="B2625" s="3" t="s">
        <v>713</v>
      </c>
      <c r="C2625" s="3" t="s">
        <v>131</v>
      </c>
      <c r="D2625" s="4">
        <f>HYPERLINK("https://cao.dolgi.msk.ru/account/1060558684/", 1060558684)</f>
        <v>1060558684</v>
      </c>
      <c r="E2625" s="3">
        <v>22429.91</v>
      </c>
    </row>
    <row r="2626" spans="1:5" x14ac:dyDescent="0.25">
      <c r="A2626" s="3" t="s">
        <v>5</v>
      </c>
      <c r="B2626" s="3" t="s">
        <v>713</v>
      </c>
      <c r="C2626" s="3" t="s">
        <v>137</v>
      </c>
      <c r="D2626" s="4">
        <f>HYPERLINK("https://cao.dolgi.msk.ru/account/1060558799/", 1060558799)</f>
        <v>1060558799</v>
      </c>
      <c r="E2626" s="3">
        <v>185769.9</v>
      </c>
    </row>
    <row r="2627" spans="1:5" x14ac:dyDescent="0.25">
      <c r="A2627" s="3" t="s">
        <v>5</v>
      </c>
      <c r="B2627" s="3" t="s">
        <v>713</v>
      </c>
      <c r="C2627" s="3" t="s">
        <v>138</v>
      </c>
      <c r="D2627" s="4">
        <f>HYPERLINK("https://cao.dolgi.msk.ru/account/1060558801/", 1060558801)</f>
        <v>1060558801</v>
      </c>
      <c r="E2627" s="3">
        <v>10847.42</v>
      </c>
    </row>
    <row r="2628" spans="1:5" x14ac:dyDescent="0.25">
      <c r="A2628" s="3" t="s">
        <v>5</v>
      </c>
      <c r="B2628" s="3" t="s">
        <v>713</v>
      </c>
      <c r="C2628" s="3" t="s">
        <v>21</v>
      </c>
      <c r="D2628" s="4">
        <f>HYPERLINK("https://cao.dolgi.msk.ru/account/1060559011/", 1060559011)</f>
        <v>1060559011</v>
      </c>
      <c r="E2628" s="3">
        <v>47236.14</v>
      </c>
    </row>
    <row r="2629" spans="1:5" x14ac:dyDescent="0.25">
      <c r="A2629" s="3" t="s">
        <v>5</v>
      </c>
      <c r="B2629" s="3" t="s">
        <v>713</v>
      </c>
      <c r="C2629" s="3" t="s">
        <v>23</v>
      </c>
      <c r="D2629" s="4">
        <f>HYPERLINK("https://cao.dolgi.msk.ru/account/1060559046/", 1060559046)</f>
        <v>1060559046</v>
      </c>
      <c r="E2629" s="3">
        <v>73470.73</v>
      </c>
    </row>
    <row r="2630" spans="1:5" x14ac:dyDescent="0.25">
      <c r="A2630" s="3" t="s">
        <v>5</v>
      </c>
      <c r="B2630" s="3" t="s">
        <v>713</v>
      </c>
      <c r="C2630" s="3" t="s">
        <v>28</v>
      </c>
      <c r="D2630" s="4">
        <f>HYPERLINK("https://cao.dolgi.msk.ru/account/1060559118/", 1060559118)</f>
        <v>1060559118</v>
      </c>
      <c r="E2630" s="3">
        <v>11202.47</v>
      </c>
    </row>
    <row r="2631" spans="1:5" x14ac:dyDescent="0.25">
      <c r="A2631" s="3" t="s">
        <v>5</v>
      </c>
      <c r="B2631" s="3" t="s">
        <v>714</v>
      </c>
      <c r="C2631" s="3" t="s">
        <v>51</v>
      </c>
      <c r="D2631" s="4">
        <f>HYPERLINK("https://cao.dolgi.msk.ru/account/1060532724/", 1060532724)</f>
        <v>1060532724</v>
      </c>
      <c r="E2631" s="3">
        <v>16325.32</v>
      </c>
    </row>
    <row r="2632" spans="1:5" x14ac:dyDescent="0.25">
      <c r="A2632" s="3" t="s">
        <v>5</v>
      </c>
      <c r="B2632" s="3" t="s">
        <v>714</v>
      </c>
      <c r="C2632" s="3" t="s">
        <v>130</v>
      </c>
      <c r="D2632" s="4">
        <f>HYPERLINK("https://cao.dolgi.msk.ru/account/1060532767/", 1060532767)</f>
        <v>1060532767</v>
      </c>
      <c r="E2632" s="3">
        <v>75001.490000000005</v>
      </c>
    </row>
    <row r="2633" spans="1:5" x14ac:dyDescent="0.25">
      <c r="A2633" s="3" t="s">
        <v>5</v>
      </c>
      <c r="B2633" s="3" t="s">
        <v>714</v>
      </c>
      <c r="C2633" s="3" t="s">
        <v>134</v>
      </c>
      <c r="D2633" s="4">
        <f>HYPERLINK("https://cao.dolgi.msk.ru/account/1060532839/", 1060532839)</f>
        <v>1060532839</v>
      </c>
      <c r="E2633" s="3">
        <v>23879.46</v>
      </c>
    </row>
    <row r="2634" spans="1:5" x14ac:dyDescent="0.25">
      <c r="A2634" s="3" t="s">
        <v>5</v>
      </c>
      <c r="B2634" s="3" t="s">
        <v>714</v>
      </c>
      <c r="C2634" s="3" t="s">
        <v>138</v>
      </c>
      <c r="D2634" s="4">
        <f>HYPERLINK("https://cao.dolgi.msk.ru/account/1060532871/", 1060532871)</f>
        <v>1060532871</v>
      </c>
      <c r="E2634" s="3">
        <v>11944.78</v>
      </c>
    </row>
    <row r="2635" spans="1:5" x14ac:dyDescent="0.25">
      <c r="A2635" s="3" t="s">
        <v>5</v>
      </c>
      <c r="B2635" s="3" t="s">
        <v>714</v>
      </c>
      <c r="C2635" s="3" t="s">
        <v>13</v>
      </c>
      <c r="D2635" s="4">
        <f>HYPERLINK("https://cao.dolgi.msk.ru/account/1060532994/", 1060532994)</f>
        <v>1060532994</v>
      </c>
      <c r="E2635" s="3">
        <v>422595.13</v>
      </c>
    </row>
    <row r="2636" spans="1:5" x14ac:dyDescent="0.25">
      <c r="A2636" s="3" t="s">
        <v>5</v>
      </c>
      <c r="B2636" s="3" t="s">
        <v>714</v>
      </c>
      <c r="C2636" s="3" t="s">
        <v>45</v>
      </c>
      <c r="D2636" s="4">
        <f>HYPERLINK("https://cao.dolgi.msk.ru/account/1060888122/", 1060888122)</f>
        <v>1060888122</v>
      </c>
      <c r="E2636" s="3">
        <v>3546.72</v>
      </c>
    </row>
    <row r="2637" spans="1:5" x14ac:dyDescent="0.25">
      <c r="A2637" s="3" t="s">
        <v>5</v>
      </c>
      <c r="B2637" s="3" t="s">
        <v>714</v>
      </c>
      <c r="C2637" s="3" t="s">
        <v>46</v>
      </c>
      <c r="D2637" s="4">
        <f>HYPERLINK("https://cao.dolgi.msk.ru/account/1060533399/", 1060533399)</f>
        <v>1060533399</v>
      </c>
      <c r="E2637" s="3">
        <v>13669.23</v>
      </c>
    </row>
    <row r="2638" spans="1:5" x14ac:dyDescent="0.25">
      <c r="A2638" s="3" t="s">
        <v>5</v>
      </c>
      <c r="B2638" s="3" t="s">
        <v>714</v>
      </c>
      <c r="C2638" s="3" t="s">
        <v>50</v>
      </c>
      <c r="D2638" s="4">
        <f>HYPERLINK("https://cao.dolgi.msk.ru/account/1060533444/", 1060533444)</f>
        <v>1060533444</v>
      </c>
      <c r="E2638" s="3">
        <v>5774.59</v>
      </c>
    </row>
    <row r="2639" spans="1:5" x14ac:dyDescent="0.25">
      <c r="A2639" s="3" t="s">
        <v>5</v>
      </c>
      <c r="B2639" s="3" t="s">
        <v>714</v>
      </c>
      <c r="C2639" s="3" t="s">
        <v>56</v>
      </c>
      <c r="D2639" s="4">
        <f>HYPERLINK("https://cao.dolgi.msk.ru/account/1060533508/", 1060533508)</f>
        <v>1060533508</v>
      </c>
      <c r="E2639" s="3">
        <v>35652.06</v>
      </c>
    </row>
    <row r="2640" spans="1:5" x14ac:dyDescent="0.25">
      <c r="A2640" s="3" t="s">
        <v>5</v>
      </c>
      <c r="B2640" s="3" t="s">
        <v>714</v>
      </c>
      <c r="C2640" s="3" t="s">
        <v>74</v>
      </c>
      <c r="D2640" s="4">
        <f>HYPERLINK("https://cao.dolgi.msk.ru/account/1060533655/", 1060533655)</f>
        <v>1060533655</v>
      </c>
      <c r="E2640" s="3">
        <v>13310.88</v>
      </c>
    </row>
    <row r="2641" spans="1:5" x14ac:dyDescent="0.25">
      <c r="A2641" s="3" t="s">
        <v>5</v>
      </c>
      <c r="B2641" s="3" t="s">
        <v>714</v>
      </c>
      <c r="C2641" s="3" t="s">
        <v>77</v>
      </c>
      <c r="D2641" s="4">
        <f>HYPERLINK("https://cao.dolgi.msk.ru/account/1060533698/", 1060533698)</f>
        <v>1060533698</v>
      </c>
      <c r="E2641" s="3">
        <v>12355.85</v>
      </c>
    </row>
    <row r="2642" spans="1:5" x14ac:dyDescent="0.25">
      <c r="A2642" s="3" t="s">
        <v>5</v>
      </c>
      <c r="B2642" s="3" t="s">
        <v>714</v>
      </c>
      <c r="C2642" s="3" t="s">
        <v>79</v>
      </c>
      <c r="D2642" s="4">
        <f>HYPERLINK("https://cao.dolgi.msk.ru/account/1060533727/", 1060533727)</f>
        <v>1060533727</v>
      </c>
      <c r="E2642" s="3">
        <v>9019.69</v>
      </c>
    </row>
    <row r="2643" spans="1:5" x14ac:dyDescent="0.25">
      <c r="A2643" s="3" t="s">
        <v>5</v>
      </c>
      <c r="B2643" s="3" t="s">
        <v>714</v>
      </c>
      <c r="C2643" s="3" t="s">
        <v>80</v>
      </c>
      <c r="D2643" s="4">
        <f>HYPERLINK("https://cao.dolgi.msk.ru/account/1060533735/", 1060533735)</f>
        <v>1060533735</v>
      </c>
      <c r="E2643" s="3">
        <v>7823.93</v>
      </c>
    </row>
    <row r="2644" spans="1:5" x14ac:dyDescent="0.25">
      <c r="A2644" s="3" t="s">
        <v>5</v>
      </c>
      <c r="B2644" s="3" t="s">
        <v>714</v>
      </c>
      <c r="C2644" s="3" t="s">
        <v>81</v>
      </c>
      <c r="D2644" s="4">
        <f>HYPERLINK("https://cao.dolgi.msk.ru/account/1060533743/", 1060533743)</f>
        <v>1060533743</v>
      </c>
      <c r="E2644" s="3">
        <v>7526.33</v>
      </c>
    </row>
    <row r="2645" spans="1:5" x14ac:dyDescent="0.25">
      <c r="A2645" s="3" t="s">
        <v>5</v>
      </c>
      <c r="B2645" s="3" t="s">
        <v>714</v>
      </c>
      <c r="C2645" s="3" t="s">
        <v>115</v>
      </c>
      <c r="D2645" s="4">
        <f>HYPERLINK("https://cao.dolgi.msk.ru/account/1060534164/", 1060534164)</f>
        <v>1060534164</v>
      </c>
      <c r="E2645" s="3">
        <v>313389.28999999998</v>
      </c>
    </row>
    <row r="2646" spans="1:5" x14ac:dyDescent="0.25">
      <c r="A2646" s="3" t="s">
        <v>5</v>
      </c>
      <c r="B2646" s="3" t="s">
        <v>714</v>
      </c>
      <c r="C2646" s="3" t="s">
        <v>150</v>
      </c>
      <c r="D2646" s="4">
        <f>HYPERLINK("https://cao.dolgi.msk.ru/account/1060534201/", 1060534201)</f>
        <v>1060534201</v>
      </c>
      <c r="E2646" s="3">
        <v>6111.71</v>
      </c>
    </row>
    <row r="2647" spans="1:5" x14ac:dyDescent="0.25">
      <c r="A2647" s="3" t="s">
        <v>5</v>
      </c>
      <c r="B2647" s="3" t="s">
        <v>714</v>
      </c>
      <c r="C2647" s="3" t="s">
        <v>172</v>
      </c>
      <c r="D2647" s="4">
        <f>HYPERLINK("https://cao.dolgi.msk.ru/account/1060534463/", 1060534463)</f>
        <v>1060534463</v>
      </c>
      <c r="E2647" s="3">
        <v>286149.32</v>
      </c>
    </row>
    <row r="2648" spans="1:5" x14ac:dyDescent="0.25">
      <c r="A2648" s="3" t="s">
        <v>5</v>
      </c>
      <c r="B2648" s="3" t="s">
        <v>714</v>
      </c>
      <c r="C2648" s="3" t="s">
        <v>195</v>
      </c>
      <c r="D2648" s="4">
        <f>HYPERLINK("https://cao.dolgi.msk.ru/account/1060534754/", 1060534754)</f>
        <v>1060534754</v>
      </c>
      <c r="E2648" s="3">
        <v>5477.3</v>
      </c>
    </row>
    <row r="2649" spans="1:5" x14ac:dyDescent="0.25">
      <c r="A2649" s="3" t="s">
        <v>5</v>
      </c>
      <c r="B2649" s="3" t="s">
        <v>715</v>
      </c>
      <c r="C2649" s="3" t="s">
        <v>135</v>
      </c>
      <c r="D2649" s="4">
        <f>HYPERLINK("https://cao.dolgi.msk.ru/account/1060379547/", 1060379547)</f>
        <v>1060379547</v>
      </c>
      <c r="E2649" s="3">
        <v>7792.64</v>
      </c>
    </row>
    <row r="2650" spans="1:5" x14ac:dyDescent="0.25">
      <c r="A2650" s="3" t="s">
        <v>5</v>
      </c>
      <c r="B2650" s="3" t="s">
        <v>715</v>
      </c>
      <c r="C2650" s="3" t="s">
        <v>7</v>
      </c>
      <c r="D2650" s="4">
        <f>HYPERLINK("https://cao.dolgi.msk.ru/account/1060379651/", 1060379651)</f>
        <v>1060379651</v>
      </c>
      <c r="E2650" s="3">
        <v>237509.68</v>
      </c>
    </row>
    <row r="2651" spans="1:5" x14ac:dyDescent="0.25">
      <c r="A2651" s="3" t="s">
        <v>5</v>
      </c>
      <c r="B2651" s="3" t="s">
        <v>715</v>
      </c>
      <c r="C2651" s="3" t="s">
        <v>12</v>
      </c>
      <c r="D2651" s="4">
        <f>HYPERLINK("https://cao.dolgi.msk.ru/account/1060379707/", 1060379707)</f>
        <v>1060379707</v>
      </c>
      <c r="E2651" s="3">
        <v>307813.24</v>
      </c>
    </row>
    <row r="2652" spans="1:5" x14ac:dyDescent="0.25">
      <c r="A2652" s="3" t="s">
        <v>5</v>
      </c>
      <c r="B2652" s="3" t="s">
        <v>715</v>
      </c>
      <c r="C2652" s="3" t="s">
        <v>17</v>
      </c>
      <c r="D2652" s="4">
        <f>HYPERLINK("https://cao.dolgi.msk.ru/account/1060379782/", 1060379782)</f>
        <v>1060379782</v>
      </c>
      <c r="E2652" s="3">
        <v>3811.83</v>
      </c>
    </row>
    <row r="2653" spans="1:5" x14ac:dyDescent="0.25">
      <c r="A2653" s="3" t="s">
        <v>5</v>
      </c>
      <c r="B2653" s="3" t="s">
        <v>715</v>
      </c>
      <c r="C2653" s="3" t="s">
        <v>42</v>
      </c>
      <c r="D2653" s="4">
        <f>HYPERLINK("https://cao.dolgi.msk.ru/account/1060380118/", 1060380118)</f>
        <v>1060380118</v>
      </c>
      <c r="E2653" s="3">
        <v>19223.150000000001</v>
      </c>
    </row>
    <row r="2654" spans="1:5" x14ac:dyDescent="0.25">
      <c r="A2654" s="3" t="s">
        <v>5</v>
      </c>
      <c r="B2654" s="3" t="s">
        <v>715</v>
      </c>
      <c r="C2654" s="3" t="s">
        <v>46</v>
      </c>
      <c r="D2654" s="4">
        <f>HYPERLINK("https://cao.dolgi.msk.ru/account/1060380193/", 1060380193)</f>
        <v>1060380193</v>
      </c>
      <c r="E2654" s="3">
        <v>4082.19</v>
      </c>
    </row>
    <row r="2655" spans="1:5" x14ac:dyDescent="0.25">
      <c r="A2655" s="3" t="s">
        <v>5</v>
      </c>
      <c r="B2655" s="3" t="s">
        <v>715</v>
      </c>
      <c r="C2655" s="3" t="s">
        <v>59</v>
      </c>
      <c r="D2655" s="4">
        <f>HYPERLINK("https://cao.dolgi.msk.ru/account/1060380388/", 1060380388)</f>
        <v>1060380388</v>
      </c>
      <c r="E2655" s="3">
        <v>32470.639999999999</v>
      </c>
    </row>
    <row r="2656" spans="1:5" x14ac:dyDescent="0.25">
      <c r="A2656" s="3" t="s">
        <v>5</v>
      </c>
      <c r="B2656" s="3" t="s">
        <v>715</v>
      </c>
      <c r="C2656" s="3" t="s">
        <v>62</v>
      </c>
      <c r="D2656" s="4">
        <f>HYPERLINK("https://cao.dolgi.msk.ru/account/1060380441/", 1060380441)</f>
        <v>1060380441</v>
      </c>
      <c r="E2656" s="3">
        <v>10273.48</v>
      </c>
    </row>
    <row r="2657" spans="1:5" x14ac:dyDescent="0.25">
      <c r="A2657" s="3" t="s">
        <v>5</v>
      </c>
      <c r="B2657" s="3" t="s">
        <v>715</v>
      </c>
      <c r="C2657" s="3" t="s">
        <v>72</v>
      </c>
      <c r="D2657" s="4">
        <f>HYPERLINK("https://cao.dolgi.msk.ru/account/1060380548/", 1060380548)</f>
        <v>1060380548</v>
      </c>
      <c r="E2657" s="3">
        <v>66435.73</v>
      </c>
    </row>
    <row r="2658" spans="1:5" x14ac:dyDescent="0.25">
      <c r="A2658" s="3" t="s">
        <v>5</v>
      </c>
      <c r="B2658" s="3" t="s">
        <v>716</v>
      </c>
      <c r="C2658" s="3" t="s">
        <v>51</v>
      </c>
      <c r="D2658" s="4">
        <f>HYPERLINK("https://cao.dolgi.msk.ru/account/1060534797/", 1060534797)</f>
        <v>1060534797</v>
      </c>
      <c r="E2658" s="3">
        <v>8649.07</v>
      </c>
    </row>
    <row r="2659" spans="1:5" x14ac:dyDescent="0.25">
      <c r="A2659" s="3" t="s">
        <v>5</v>
      </c>
      <c r="B2659" s="3" t="s">
        <v>716</v>
      </c>
      <c r="C2659" s="3" t="s">
        <v>30</v>
      </c>
      <c r="D2659" s="4">
        <f>HYPERLINK("https://cao.dolgi.msk.ru/account/1060534826/", 1060534826)</f>
        <v>1060534826</v>
      </c>
      <c r="E2659" s="3">
        <v>4043.09</v>
      </c>
    </row>
    <row r="2660" spans="1:5" x14ac:dyDescent="0.25">
      <c r="A2660" s="3" t="s">
        <v>5</v>
      </c>
      <c r="B2660" s="3" t="s">
        <v>716</v>
      </c>
      <c r="C2660" s="3" t="s">
        <v>30</v>
      </c>
      <c r="D2660" s="4">
        <f>HYPERLINK("https://cao.dolgi.msk.ru/account/1060534834/", 1060534834)</f>
        <v>1060534834</v>
      </c>
      <c r="E2660" s="3">
        <v>3334.58</v>
      </c>
    </row>
    <row r="2661" spans="1:5" x14ac:dyDescent="0.25">
      <c r="A2661" s="3" t="s">
        <v>5</v>
      </c>
      <c r="B2661" s="3" t="s">
        <v>716</v>
      </c>
      <c r="C2661" s="3" t="s">
        <v>30</v>
      </c>
      <c r="D2661" s="4">
        <f>HYPERLINK("https://cao.dolgi.msk.ru/account/1060534842/", 1060534842)</f>
        <v>1060534842</v>
      </c>
      <c r="E2661" s="3">
        <v>7412.74</v>
      </c>
    </row>
    <row r="2662" spans="1:5" x14ac:dyDescent="0.25">
      <c r="A2662" s="3" t="s">
        <v>5</v>
      </c>
      <c r="B2662" s="3" t="s">
        <v>716</v>
      </c>
      <c r="C2662" s="3" t="s">
        <v>9</v>
      </c>
      <c r="D2662" s="4">
        <f>HYPERLINK("https://cao.dolgi.msk.ru/account/1060534885/", 1060534885)</f>
        <v>1060534885</v>
      </c>
      <c r="E2662" s="3">
        <v>82747.06</v>
      </c>
    </row>
    <row r="2663" spans="1:5" x14ac:dyDescent="0.25">
      <c r="A2663" s="3" t="s">
        <v>5</v>
      </c>
      <c r="B2663" s="3" t="s">
        <v>716</v>
      </c>
      <c r="C2663" s="3" t="s">
        <v>105</v>
      </c>
      <c r="D2663" s="4">
        <f>HYPERLINK("https://cao.dolgi.msk.ru/account/1060534906/", 1060534906)</f>
        <v>1060534906</v>
      </c>
      <c r="E2663" s="3">
        <v>9830.2199999999993</v>
      </c>
    </row>
    <row r="2664" spans="1:5" x14ac:dyDescent="0.25">
      <c r="A2664" s="3" t="s">
        <v>5</v>
      </c>
      <c r="B2664" s="3" t="s">
        <v>716</v>
      </c>
      <c r="C2664" s="3" t="s">
        <v>142</v>
      </c>
      <c r="D2664" s="4">
        <f>HYPERLINK("https://cao.dolgi.msk.ru/account/1060535052/", 1060535052)</f>
        <v>1060535052</v>
      </c>
      <c r="E2664" s="3">
        <v>169288.51</v>
      </c>
    </row>
    <row r="2665" spans="1:5" x14ac:dyDescent="0.25">
      <c r="A2665" s="3" t="s">
        <v>5</v>
      </c>
      <c r="B2665" s="3" t="s">
        <v>716</v>
      </c>
      <c r="C2665" s="3" t="s">
        <v>45</v>
      </c>
      <c r="D2665" s="4">
        <f>HYPERLINK("https://cao.dolgi.msk.ru/account/1060535538/", 1060535538)</f>
        <v>1060535538</v>
      </c>
      <c r="E2665" s="3">
        <v>2286.46</v>
      </c>
    </row>
    <row r="2666" spans="1:5" x14ac:dyDescent="0.25">
      <c r="A2666" s="3" t="s">
        <v>5</v>
      </c>
      <c r="B2666" s="3" t="s">
        <v>716</v>
      </c>
      <c r="C2666" s="3" t="s">
        <v>63</v>
      </c>
      <c r="D2666" s="4">
        <f>HYPERLINK("https://cao.dolgi.msk.ru/account/1060535757/", 1060535757)</f>
        <v>1060535757</v>
      </c>
      <c r="E2666" s="3">
        <v>10221.290000000001</v>
      </c>
    </row>
    <row r="2667" spans="1:5" x14ac:dyDescent="0.25">
      <c r="A2667" s="3" t="s">
        <v>5</v>
      </c>
      <c r="B2667" s="3" t="s">
        <v>716</v>
      </c>
      <c r="C2667" s="3" t="s">
        <v>66</v>
      </c>
      <c r="D2667" s="4">
        <f>HYPERLINK("https://cao.dolgi.msk.ru/account/1060535802/", 1060535802)</f>
        <v>1060535802</v>
      </c>
      <c r="E2667" s="3">
        <v>12737.78</v>
      </c>
    </row>
    <row r="2668" spans="1:5" x14ac:dyDescent="0.25">
      <c r="A2668" s="3" t="s">
        <v>5</v>
      </c>
      <c r="B2668" s="3" t="s">
        <v>716</v>
      </c>
      <c r="C2668" s="3" t="s">
        <v>83</v>
      </c>
      <c r="D2668" s="4">
        <f>HYPERLINK("https://cao.dolgi.msk.ru/account/1060535941/", 1060535941)</f>
        <v>1060535941</v>
      </c>
      <c r="E2668" s="3">
        <v>4814.54</v>
      </c>
    </row>
    <row r="2669" spans="1:5" x14ac:dyDescent="0.25">
      <c r="A2669" s="3" t="s">
        <v>5</v>
      </c>
      <c r="B2669" s="3" t="s">
        <v>716</v>
      </c>
      <c r="C2669" s="3" t="s">
        <v>84</v>
      </c>
      <c r="D2669" s="4">
        <f>HYPERLINK("https://cao.dolgi.msk.ru/account/1060535968/", 1060535968)</f>
        <v>1060535968</v>
      </c>
      <c r="E2669" s="3">
        <v>37428.31</v>
      </c>
    </row>
    <row r="2670" spans="1:5" x14ac:dyDescent="0.25">
      <c r="A2670" s="3" t="s">
        <v>5</v>
      </c>
      <c r="B2670" s="3" t="s">
        <v>716</v>
      </c>
      <c r="C2670" s="3" t="s">
        <v>102</v>
      </c>
      <c r="D2670" s="4">
        <f>HYPERLINK("https://cao.dolgi.msk.ru/account/1060536186/", 1060536186)</f>
        <v>1060536186</v>
      </c>
      <c r="E2670" s="3">
        <v>41147.269999999997</v>
      </c>
    </row>
    <row r="2671" spans="1:5" x14ac:dyDescent="0.25">
      <c r="A2671" s="3" t="s">
        <v>5</v>
      </c>
      <c r="B2671" s="3" t="s">
        <v>716</v>
      </c>
      <c r="C2671" s="3" t="s">
        <v>146</v>
      </c>
      <c r="D2671" s="4">
        <f>HYPERLINK("https://cao.dolgi.msk.ru/account/1060536215/", 1060536215)</f>
        <v>1060536215</v>
      </c>
      <c r="E2671" s="3">
        <v>20621.84</v>
      </c>
    </row>
    <row r="2672" spans="1:5" x14ac:dyDescent="0.25">
      <c r="A2672" s="3" t="s">
        <v>5</v>
      </c>
      <c r="B2672" s="3" t="s">
        <v>716</v>
      </c>
      <c r="C2672" s="3" t="s">
        <v>167</v>
      </c>
      <c r="D2672" s="4">
        <f>HYPERLINK("https://cao.dolgi.msk.ru/account/1060536688/", 1060536688)</f>
        <v>1060536688</v>
      </c>
      <c r="E2672" s="3">
        <v>85690.89</v>
      </c>
    </row>
    <row r="2673" spans="1:5" x14ac:dyDescent="0.25">
      <c r="A2673" s="3" t="s">
        <v>5</v>
      </c>
      <c r="B2673" s="3" t="s">
        <v>717</v>
      </c>
      <c r="C2673" s="3" t="s">
        <v>130</v>
      </c>
      <c r="D2673" s="4">
        <f>HYPERLINK("https://cao.dolgi.msk.ru/account/1060537779/", 1060537779)</f>
        <v>1060537779</v>
      </c>
      <c r="E2673" s="3">
        <v>7851.24</v>
      </c>
    </row>
    <row r="2674" spans="1:5" x14ac:dyDescent="0.25">
      <c r="A2674" s="3" t="s">
        <v>5</v>
      </c>
      <c r="B2674" s="3" t="s">
        <v>717</v>
      </c>
      <c r="C2674" s="3" t="s">
        <v>89</v>
      </c>
      <c r="D2674" s="4">
        <f>HYPERLINK("https://cao.dolgi.msk.ru/account/1060537808/", 1060537808)</f>
        <v>1060537808</v>
      </c>
      <c r="E2674" s="3">
        <v>9680.32</v>
      </c>
    </row>
    <row r="2675" spans="1:5" x14ac:dyDescent="0.25">
      <c r="A2675" s="3" t="s">
        <v>5</v>
      </c>
      <c r="B2675" s="3" t="s">
        <v>717</v>
      </c>
      <c r="C2675" s="3" t="s">
        <v>105</v>
      </c>
      <c r="D2675" s="4">
        <f>HYPERLINK("https://cao.dolgi.msk.ru/account/1060537816/", 1060537816)</f>
        <v>1060537816</v>
      </c>
      <c r="E2675" s="3">
        <v>21488.68</v>
      </c>
    </row>
    <row r="2676" spans="1:5" x14ac:dyDescent="0.25">
      <c r="A2676" s="3" t="s">
        <v>5</v>
      </c>
      <c r="B2676" s="3" t="s">
        <v>717</v>
      </c>
      <c r="C2676" s="3" t="s">
        <v>31</v>
      </c>
      <c r="D2676" s="4">
        <f>HYPERLINK("https://cao.dolgi.msk.ru/account/1060538237/", 1060538237)</f>
        <v>1060538237</v>
      </c>
      <c r="E2676" s="3">
        <v>18000.45</v>
      </c>
    </row>
    <row r="2677" spans="1:5" x14ac:dyDescent="0.25">
      <c r="A2677" s="3" t="s">
        <v>5</v>
      </c>
      <c r="B2677" s="3" t="s">
        <v>717</v>
      </c>
      <c r="C2677" s="3" t="s">
        <v>32</v>
      </c>
      <c r="D2677" s="4">
        <f>HYPERLINK("https://cao.dolgi.msk.ru/account/1060538245/", 1060538245)</f>
        <v>1060538245</v>
      </c>
      <c r="E2677" s="3">
        <v>6910.69</v>
      </c>
    </row>
    <row r="2678" spans="1:5" x14ac:dyDescent="0.25">
      <c r="A2678" s="3" t="s">
        <v>5</v>
      </c>
      <c r="B2678" s="3" t="s">
        <v>717</v>
      </c>
      <c r="C2678" s="3" t="s">
        <v>42</v>
      </c>
      <c r="D2678" s="4">
        <f>HYPERLINK("https://cao.dolgi.msk.ru/account/1060538368/", 1060538368)</f>
        <v>1060538368</v>
      </c>
      <c r="E2678" s="3">
        <v>707859.16</v>
      </c>
    </row>
    <row r="2679" spans="1:5" x14ac:dyDescent="0.25">
      <c r="A2679" s="3" t="s">
        <v>5</v>
      </c>
      <c r="B2679" s="3" t="s">
        <v>717</v>
      </c>
      <c r="C2679" s="3" t="s">
        <v>43</v>
      </c>
      <c r="D2679" s="4">
        <f>HYPERLINK("https://cao.dolgi.msk.ru/account/1060538376/", 1060538376)</f>
        <v>1060538376</v>
      </c>
      <c r="E2679" s="3">
        <v>7883.94</v>
      </c>
    </row>
    <row r="2680" spans="1:5" x14ac:dyDescent="0.25">
      <c r="A2680" s="3" t="s">
        <v>5</v>
      </c>
      <c r="B2680" s="3" t="s">
        <v>717</v>
      </c>
      <c r="C2680" s="3" t="s">
        <v>63</v>
      </c>
      <c r="D2680" s="4">
        <f>HYPERLINK("https://cao.dolgi.msk.ru/account/1060538608/", 1060538608)</f>
        <v>1060538608</v>
      </c>
      <c r="E2680" s="3">
        <v>12953.91</v>
      </c>
    </row>
    <row r="2681" spans="1:5" x14ac:dyDescent="0.25">
      <c r="A2681" s="3" t="s">
        <v>5</v>
      </c>
      <c r="B2681" s="3" t="s">
        <v>717</v>
      </c>
      <c r="C2681" s="3" t="s">
        <v>66</v>
      </c>
      <c r="D2681" s="4">
        <f>HYPERLINK("https://cao.dolgi.msk.ru/account/1060538632/", 1060538632)</f>
        <v>1060538632</v>
      </c>
      <c r="E2681" s="3">
        <v>7248.88</v>
      </c>
    </row>
    <row r="2682" spans="1:5" x14ac:dyDescent="0.25">
      <c r="A2682" s="3" t="s">
        <v>5</v>
      </c>
      <c r="B2682" s="3" t="s">
        <v>717</v>
      </c>
      <c r="C2682" s="3" t="s">
        <v>73</v>
      </c>
      <c r="D2682" s="4">
        <f>HYPERLINK("https://cao.dolgi.msk.ru/account/1060538667/", 1060538667)</f>
        <v>1060538667</v>
      </c>
      <c r="E2682" s="3">
        <v>11341.69</v>
      </c>
    </row>
    <row r="2683" spans="1:5" x14ac:dyDescent="0.25">
      <c r="A2683" s="3" t="s">
        <v>5</v>
      </c>
      <c r="B2683" s="3" t="s">
        <v>717</v>
      </c>
      <c r="C2683" s="3" t="s">
        <v>74</v>
      </c>
      <c r="D2683" s="4">
        <f>HYPERLINK("https://cao.dolgi.msk.ru/account/1060538675/", 1060538675)</f>
        <v>1060538675</v>
      </c>
      <c r="E2683" s="3">
        <v>8660.91</v>
      </c>
    </row>
    <row r="2684" spans="1:5" x14ac:dyDescent="0.25">
      <c r="A2684" s="3" t="s">
        <v>5</v>
      </c>
      <c r="B2684" s="3" t="s">
        <v>717</v>
      </c>
      <c r="C2684" s="3" t="s">
        <v>148</v>
      </c>
      <c r="D2684" s="4">
        <f>HYPERLINK("https://cao.dolgi.msk.ru/account/1060539096/", 1060539096)</f>
        <v>1060539096</v>
      </c>
      <c r="E2684" s="3">
        <v>14171.32</v>
      </c>
    </row>
    <row r="2685" spans="1:5" x14ac:dyDescent="0.25">
      <c r="A2685" s="3" t="s">
        <v>5</v>
      </c>
      <c r="B2685" s="3" t="s">
        <v>717</v>
      </c>
      <c r="C2685" s="3" t="s">
        <v>107</v>
      </c>
      <c r="D2685" s="4">
        <f>HYPERLINK("https://cao.dolgi.msk.ru/account/1060539125/", 1060539125)</f>
        <v>1060539125</v>
      </c>
      <c r="E2685" s="3">
        <v>20668.91</v>
      </c>
    </row>
    <row r="2686" spans="1:5" x14ac:dyDescent="0.25">
      <c r="A2686" s="3" t="s">
        <v>5</v>
      </c>
      <c r="B2686" s="3" t="s">
        <v>717</v>
      </c>
      <c r="C2686" s="3" t="s">
        <v>158</v>
      </c>
      <c r="D2686" s="4">
        <f>HYPERLINK("https://cao.dolgi.msk.ru/account/1060539352/", 1060539352)</f>
        <v>1060539352</v>
      </c>
      <c r="E2686" s="3">
        <v>75607.87</v>
      </c>
    </row>
    <row r="2687" spans="1:5" x14ac:dyDescent="0.25">
      <c r="A2687" s="3" t="s">
        <v>5</v>
      </c>
      <c r="B2687" s="3" t="s">
        <v>717</v>
      </c>
      <c r="C2687" s="3" t="s">
        <v>193</v>
      </c>
      <c r="D2687" s="4">
        <f>HYPERLINK("https://cao.dolgi.msk.ru/account/1060539774/", 1060539774)</f>
        <v>1060539774</v>
      </c>
      <c r="E2687" s="3">
        <v>4591.83</v>
      </c>
    </row>
    <row r="2688" spans="1:5" x14ac:dyDescent="0.25">
      <c r="A2688" s="3" t="s">
        <v>5</v>
      </c>
      <c r="B2688" s="3" t="s">
        <v>717</v>
      </c>
      <c r="C2688" s="3" t="s">
        <v>213</v>
      </c>
      <c r="D2688" s="4">
        <f>HYPERLINK("https://cao.dolgi.msk.ru/account/1060539985/", 1060539985)</f>
        <v>1060539985</v>
      </c>
      <c r="E2688" s="3">
        <v>368287.64</v>
      </c>
    </row>
    <row r="2689" spans="1:5" x14ac:dyDescent="0.25">
      <c r="A2689" s="3" t="s">
        <v>5</v>
      </c>
      <c r="B2689" s="3" t="s">
        <v>718</v>
      </c>
      <c r="C2689" s="3" t="s">
        <v>140</v>
      </c>
      <c r="D2689" s="4">
        <f>HYPERLINK("https://cao.dolgi.msk.ru/account/1060380767/", 1060380767)</f>
        <v>1060380767</v>
      </c>
      <c r="E2689" s="3">
        <v>61206.04</v>
      </c>
    </row>
    <row r="2690" spans="1:5" x14ac:dyDescent="0.25">
      <c r="A2690" s="3" t="s">
        <v>5</v>
      </c>
      <c r="B2690" s="3" t="s">
        <v>718</v>
      </c>
      <c r="C2690" s="3" t="s">
        <v>21</v>
      </c>
      <c r="D2690" s="4">
        <f>HYPERLINK("https://cao.dolgi.msk.ru/account/1060380978/", 1060380978)</f>
        <v>1060380978</v>
      </c>
      <c r="E2690" s="3">
        <v>8511.25</v>
      </c>
    </row>
    <row r="2691" spans="1:5" x14ac:dyDescent="0.25">
      <c r="A2691" s="3" t="s">
        <v>5</v>
      </c>
      <c r="B2691" s="3" t="s">
        <v>718</v>
      </c>
      <c r="C2691" s="3" t="s">
        <v>27</v>
      </c>
      <c r="D2691" s="4">
        <f>HYPERLINK("https://cao.dolgi.msk.ru/account/1060381073/", 1060381073)</f>
        <v>1060381073</v>
      </c>
      <c r="E2691" s="3">
        <v>46427.37</v>
      </c>
    </row>
    <row r="2692" spans="1:5" x14ac:dyDescent="0.25">
      <c r="A2692" s="3" t="s">
        <v>5</v>
      </c>
      <c r="B2692" s="3" t="s">
        <v>718</v>
      </c>
      <c r="C2692" s="3" t="s">
        <v>48</v>
      </c>
      <c r="D2692" s="4">
        <f>HYPERLINK("https://cao.dolgi.msk.ru/account/1060381428/", 1060381428)</f>
        <v>1060381428</v>
      </c>
      <c r="E2692" s="3">
        <v>20202.77</v>
      </c>
    </row>
    <row r="2693" spans="1:5" x14ac:dyDescent="0.25">
      <c r="A2693" s="3" t="s">
        <v>5</v>
      </c>
      <c r="B2693" s="3" t="s">
        <v>718</v>
      </c>
      <c r="C2693" s="3" t="s">
        <v>52</v>
      </c>
      <c r="D2693" s="4">
        <f>HYPERLINK("https://cao.dolgi.msk.ru/account/1060381452/", 1060381452)</f>
        <v>1060381452</v>
      </c>
      <c r="E2693" s="3">
        <v>22178.880000000001</v>
      </c>
    </row>
    <row r="2694" spans="1:5" x14ac:dyDescent="0.25">
      <c r="A2694" s="3" t="s">
        <v>5</v>
      </c>
      <c r="B2694" s="3" t="s">
        <v>718</v>
      </c>
      <c r="C2694" s="3" t="s">
        <v>56</v>
      </c>
      <c r="D2694" s="4">
        <f>HYPERLINK("https://cao.dolgi.msk.ru/account/1060381508/", 1060381508)</f>
        <v>1060381508</v>
      </c>
      <c r="E2694" s="3">
        <v>140521.42000000001</v>
      </c>
    </row>
    <row r="2695" spans="1:5" x14ac:dyDescent="0.25">
      <c r="A2695" s="3" t="s">
        <v>5</v>
      </c>
      <c r="B2695" s="3" t="s">
        <v>718</v>
      </c>
      <c r="C2695" s="3" t="s">
        <v>61</v>
      </c>
      <c r="D2695" s="4">
        <f>HYPERLINK("https://cao.dolgi.msk.ru/account/1060381567/", 1060381567)</f>
        <v>1060381567</v>
      </c>
      <c r="E2695" s="3">
        <v>10068.48</v>
      </c>
    </row>
    <row r="2696" spans="1:5" x14ac:dyDescent="0.25">
      <c r="A2696" s="3" t="s">
        <v>5</v>
      </c>
      <c r="B2696" s="3" t="s">
        <v>718</v>
      </c>
      <c r="C2696" s="3" t="s">
        <v>74</v>
      </c>
      <c r="D2696" s="4">
        <f>HYPERLINK("https://cao.dolgi.msk.ru/account/1060889707/", 1060889707)</f>
        <v>1060889707</v>
      </c>
      <c r="E2696" s="3">
        <v>2263.59</v>
      </c>
    </row>
    <row r="2697" spans="1:5" x14ac:dyDescent="0.25">
      <c r="A2697" s="3" t="s">
        <v>5</v>
      </c>
      <c r="B2697" s="3" t="s">
        <v>718</v>
      </c>
      <c r="C2697" s="3" t="s">
        <v>97</v>
      </c>
      <c r="D2697" s="4">
        <f>HYPERLINK("https://cao.dolgi.msk.ru/account/1060381962/", 1060381962)</f>
        <v>1060381962</v>
      </c>
      <c r="E2697" s="3">
        <v>3620.49</v>
      </c>
    </row>
    <row r="2698" spans="1:5" x14ac:dyDescent="0.25">
      <c r="A2698" s="3" t="s">
        <v>5</v>
      </c>
      <c r="B2698" s="3" t="s">
        <v>718</v>
      </c>
      <c r="C2698" s="3" t="s">
        <v>98</v>
      </c>
      <c r="D2698" s="4">
        <f>HYPERLINK("https://cao.dolgi.msk.ru/account/1060381989/", 1060381989)</f>
        <v>1060381989</v>
      </c>
      <c r="E2698" s="3">
        <v>9568.1</v>
      </c>
    </row>
    <row r="2699" spans="1:5" x14ac:dyDescent="0.25">
      <c r="A2699" s="3" t="s">
        <v>5</v>
      </c>
      <c r="B2699" s="3" t="s">
        <v>718</v>
      </c>
      <c r="C2699" s="3" t="s">
        <v>101</v>
      </c>
      <c r="D2699" s="4">
        <f>HYPERLINK("https://cao.dolgi.msk.ru/account/1060382017/", 1060382017)</f>
        <v>1060382017</v>
      </c>
      <c r="E2699" s="3">
        <v>26834.51</v>
      </c>
    </row>
    <row r="2700" spans="1:5" x14ac:dyDescent="0.25">
      <c r="A2700" s="3" t="s">
        <v>5</v>
      </c>
      <c r="B2700" s="3" t="s">
        <v>718</v>
      </c>
      <c r="C2700" s="3" t="s">
        <v>104</v>
      </c>
      <c r="D2700" s="4">
        <f>HYPERLINK("https://cao.dolgi.msk.ru/account/1060382105/", 1060382105)</f>
        <v>1060382105</v>
      </c>
      <c r="E2700" s="3">
        <v>3846.72</v>
      </c>
    </row>
    <row r="2701" spans="1:5" x14ac:dyDescent="0.25">
      <c r="A2701" s="3" t="s">
        <v>5</v>
      </c>
      <c r="B2701" s="3" t="s">
        <v>719</v>
      </c>
      <c r="C2701" s="3" t="s">
        <v>8</v>
      </c>
      <c r="D2701" s="4">
        <f>HYPERLINK("https://cao.dolgi.msk.ru/account/1060540046/", 1060540046)</f>
        <v>1060540046</v>
      </c>
      <c r="E2701" s="3">
        <v>51086.85</v>
      </c>
    </row>
    <row r="2702" spans="1:5" x14ac:dyDescent="0.25">
      <c r="A2702" s="3" t="s">
        <v>5</v>
      </c>
      <c r="B2702" s="3" t="s">
        <v>719</v>
      </c>
      <c r="C2702" s="3" t="s">
        <v>10</v>
      </c>
      <c r="D2702" s="4">
        <f>HYPERLINK("https://cao.dolgi.msk.ru/account/1060540337/", 1060540337)</f>
        <v>1060540337</v>
      </c>
      <c r="E2702" s="3">
        <v>424578.2</v>
      </c>
    </row>
    <row r="2703" spans="1:5" x14ac:dyDescent="0.25">
      <c r="A2703" s="3" t="s">
        <v>5</v>
      </c>
      <c r="B2703" s="3" t="s">
        <v>719</v>
      </c>
      <c r="C2703" s="3" t="s">
        <v>11</v>
      </c>
      <c r="D2703" s="4">
        <f>HYPERLINK("https://cao.dolgi.msk.ru/account/1060540345/", 1060540345)</f>
        <v>1060540345</v>
      </c>
      <c r="E2703" s="3">
        <v>53592.14</v>
      </c>
    </row>
    <row r="2704" spans="1:5" x14ac:dyDescent="0.25">
      <c r="A2704" s="3" t="s">
        <v>5</v>
      </c>
      <c r="B2704" s="3" t="s">
        <v>719</v>
      </c>
      <c r="C2704" s="3" t="s">
        <v>16</v>
      </c>
      <c r="D2704" s="4">
        <f>HYPERLINK("https://cao.dolgi.msk.ru/account/1060540409/", 1060540409)</f>
        <v>1060540409</v>
      </c>
      <c r="E2704" s="3">
        <v>20617.25</v>
      </c>
    </row>
    <row r="2705" spans="1:5" x14ac:dyDescent="0.25">
      <c r="A2705" s="3" t="s">
        <v>5</v>
      </c>
      <c r="B2705" s="3" t="s">
        <v>719</v>
      </c>
      <c r="C2705" s="3" t="s">
        <v>23</v>
      </c>
      <c r="D2705" s="4">
        <f>HYPERLINK("https://cao.dolgi.msk.ru/account/1060540492/", 1060540492)</f>
        <v>1060540492</v>
      </c>
      <c r="E2705" s="3">
        <v>106843.88</v>
      </c>
    </row>
    <row r="2706" spans="1:5" x14ac:dyDescent="0.25">
      <c r="A2706" s="3" t="s">
        <v>5</v>
      </c>
      <c r="B2706" s="3" t="s">
        <v>719</v>
      </c>
      <c r="C2706" s="3" t="s">
        <v>26</v>
      </c>
      <c r="D2706" s="4">
        <f>HYPERLINK("https://cao.dolgi.msk.ru/account/1060540521/", 1060540521)</f>
        <v>1060540521</v>
      </c>
      <c r="E2706" s="3">
        <v>330471.03000000003</v>
      </c>
    </row>
    <row r="2707" spans="1:5" x14ac:dyDescent="0.25">
      <c r="A2707" s="3" t="s">
        <v>5</v>
      </c>
      <c r="B2707" s="3" t="s">
        <v>719</v>
      </c>
      <c r="C2707" s="3" t="s">
        <v>33</v>
      </c>
      <c r="D2707" s="4">
        <f>HYPERLINK("https://cao.dolgi.msk.ru/account/1060540601/", 1060540601)</f>
        <v>1060540601</v>
      </c>
      <c r="E2707" s="3">
        <v>95019.6</v>
      </c>
    </row>
    <row r="2708" spans="1:5" x14ac:dyDescent="0.25">
      <c r="A2708" s="3" t="s">
        <v>5</v>
      </c>
      <c r="B2708" s="3" t="s">
        <v>719</v>
      </c>
      <c r="C2708" s="3" t="s">
        <v>50</v>
      </c>
      <c r="D2708" s="4">
        <f>HYPERLINK("https://cao.dolgi.msk.ru/account/1060540804/", 1060540804)</f>
        <v>1060540804</v>
      </c>
      <c r="E2708" s="3">
        <v>4190.21</v>
      </c>
    </row>
    <row r="2709" spans="1:5" x14ac:dyDescent="0.25">
      <c r="A2709" s="3" t="s">
        <v>5</v>
      </c>
      <c r="B2709" s="3" t="s">
        <v>719</v>
      </c>
      <c r="C2709" s="3" t="s">
        <v>53</v>
      </c>
      <c r="D2709" s="4">
        <f>HYPERLINK("https://cao.dolgi.msk.ru/account/1060540847/", 1060540847)</f>
        <v>1060540847</v>
      </c>
      <c r="E2709" s="3">
        <v>21069.279999999999</v>
      </c>
    </row>
    <row r="2710" spans="1:5" x14ac:dyDescent="0.25">
      <c r="A2710" s="3" t="s">
        <v>5</v>
      </c>
      <c r="B2710" s="3" t="s">
        <v>719</v>
      </c>
      <c r="C2710" s="3" t="s">
        <v>54</v>
      </c>
      <c r="D2710" s="4">
        <f>HYPERLINK("https://cao.dolgi.msk.ru/account/1060540855/", 1060540855)</f>
        <v>1060540855</v>
      </c>
      <c r="E2710" s="3">
        <v>12090.4</v>
      </c>
    </row>
    <row r="2711" spans="1:5" x14ac:dyDescent="0.25">
      <c r="A2711" s="3" t="s">
        <v>5</v>
      </c>
      <c r="B2711" s="3" t="s">
        <v>719</v>
      </c>
      <c r="C2711" s="3" t="s">
        <v>56</v>
      </c>
      <c r="D2711" s="4">
        <f>HYPERLINK("https://cao.dolgi.msk.ru/account/1060540871/", 1060540871)</f>
        <v>1060540871</v>
      </c>
      <c r="E2711" s="3">
        <v>13488.14</v>
      </c>
    </row>
    <row r="2712" spans="1:5" x14ac:dyDescent="0.25">
      <c r="A2712" s="3" t="s">
        <v>5</v>
      </c>
      <c r="B2712" s="3" t="s">
        <v>719</v>
      </c>
      <c r="C2712" s="3" t="s">
        <v>78</v>
      </c>
      <c r="D2712" s="4">
        <f>HYPERLINK("https://cao.dolgi.msk.ru/account/1060541081/", 1060541081)</f>
        <v>1060541081</v>
      </c>
      <c r="E2712" s="3">
        <v>164206.94</v>
      </c>
    </row>
    <row r="2713" spans="1:5" x14ac:dyDescent="0.25">
      <c r="A2713" s="3" t="s">
        <v>5</v>
      </c>
      <c r="B2713" s="3" t="s">
        <v>719</v>
      </c>
      <c r="C2713" s="3" t="s">
        <v>87</v>
      </c>
      <c r="D2713" s="4">
        <f>HYPERLINK("https://cao.dolgi.msk.ru/account/1060541209/", 1060541209)</f>
        <v>1060541209</v>
      </c>
      <c r="E2713" s="3">
        <v>13209.68</v>
      </c>
    </row>
    <row r="2714" spans="1:5" x14ac:dyDescent="0.25">
      <c r="A2714" s="3" t="s">
        <v>5</v>
      </c>
      <c r="B2714" s="3" t="s">
        <v>719</v>
      </c>
      <c r="C2714" s="3" t="s">
        <v>144</v>
      </c>
      <c r="D2714" s="4">
        <f>HYPERLINK("https://cao.dolgi.msk.ru/account/1060541225/", 1060541225)</f>
        <v>1060541225</v>
      </c>
      <c r="E2714" s="3">
        <v>14439.03</v>
      </c>
    </row>
    <row r="2715" spans="1:5" x14ac:dyDescent="0.25">
      <c r="A2715" s="3" t="s">
        <v>5</v>
      </c>
      <c r="B2715" s="3" t="s">
        <v>719</v>
      </c>
      <c r="C2715" s="3" t="s">
        <v>99</v>
      </c>
      <c r="D2715" s="4">
        <f>HYPERLINK("https://cao.dolgi.msk.ru/account/1060541348/", 1060541348)</f>
        <v>1060541348</v>
      </c>
      <c r="E2715" s="3">
        <v>65923.44</v>
      </c>
    </row>
    <row r="2716" spans="1:5" x14ac:dyDescent="0.25">
      <c r="A2716" s="3" t="s">
        <v>5</v>
      </c>
      <c r="B2716" s="3" t="s">
        <v>719</v>
      </c>
      <c r="C2716" s="3" t="s">
        <v>111</v>
      </c>
      <c r="D2716" s="4">
        <f>HYPERLINK("https://cao.dolgi.msk.ru/account/1060541524/", 1060541524)</f>
        <v>1060541524</v>
      </c>
      <c r="E2716" s="3">
        <v>20861.849999999999</v>
      </c>
    </row>
    <row r="2717" spans="1:5" x14ac:dyDescent="0.25">
      <c r="A2717" s="3" t="s">
        <v>5</v>
      </c>
      <c r="B2717" s="3" t="s">
        <v>719</v>
      </c>
      <c r="C2717" s="3" t="s">
        <v>114</v>
      </c>
      <c r="D2717" s="4">
        <f>HYPERLINK("https://cao.dolgi.msk.ru/account/1060541567/", 1060541567)</f>
        <v>1060541567</v>
      </c>
      <c r="E2717" s="3">
        <v>6151.41</v>
      </c>
    </row>
    <row r="2718" spans="1:5" x14ac:dyDescent="0.25">
      <c r="A2718" s="3" t="s">
        <v>5</v>
      </c>
      <c r="B2718" s="3" t="s">
        <v>719</v>
      </c>
      <c r="C2718" s="3" t="s">
        <v>151</v>
      </c>
      <c r="D2718" s="4">
        <f>HYPERLINK("https://cao.dolgi.msk.ru/account/1060541612/", 1060541612)</f>
        <v>1060541612</v>
      </c>
      <c r="E2718" s="3">
        <v>7048.01</v>
      </c>
    </row>
    <row r="2719" spans="1:5" x14ac:dyDescent="0.25">
      <c r="A2719" s="3" t="s">
        <v>5</v>
      </c>
      <c r="B2719" s="3" t="s">
        <v>719</v>
      </c>
      <c r="C2719" s="3" t="s">
        <v>152</v>
      </c>
      <c r="D2719" s="4">
        <f>HYPERLINK("https://cao.dolgi.msk.ru/account/1060541639/", 1060541639)</f>
        <v>1060541639</v>
      </c>
      <c r="E2719" s="3">
        <v>17267.810000000001</v>
      </c>
    </row>
    <row r="2720" spans="1:5" x14ac:dyDescent="0.25">
      <c r="A2720" s="3" t="s">
        <v>5</v>
      </c>
      <c r="B2720" s="3" t="s">
        <v>719</v>
      </c>
      <c r="C2720" s="3" t="s">
        <v>154</v>
      </c>
      <c r="D2720" s="4">
        <f>HYPERLINK("https://cao.dolgi.msk.ru/account/1060541655/", 1060541655)</f>
        <v>1060541655</v>
      </c>
      <c r="E2720" s="3">
        <v>6748.52</v>
      </c>
    </row>
    <row r="2721" spans="1:5" x14ac:dyDescent="0.25">
      <c r="A2721" s="3" t="s">
        <v>5</v>
      </c>
      <c r="B2721" s="3" t="s">
        <v>719</v>
      </c>
      <c r="C2721" s="3" t="s">
        <v>168</v>
      </c>
      <c r="D2721" s="4">
        <f>HYPERLINK("https://cao.dolgi.msk.ru/account/1060541823/", 1060541823)</f>
        <v>1060541823</v>
      </c>
      <c r="E2721" s="3">
        <v>13240.05</v>
      </c>
    </row>
    <row r="2722" spans="1:5" x14ac:dyDescent="0.25">
      <c r="A2722" s="3" t="s">
        <v>5</v>
      </c>
      <c r="B2722" s="3" t="s">
        <v>720</v>
      </c>
      <c r="C2722" s="3" t="s">
        <v>8</v>
      </c>
      <c r="D2722" s="4">
        <f>HYPERLINK("https://cao.dolgi.msk.ru/account/1060542033/", 1060542033)</f>
        <v>1060542033</v>
      </c>
      <c r="E2722" s="3">
        <v>14018.31</v>
      </c>
    </row>
    <row r="2723" spans="1:5" x14ac:dyDescent="0.25">
      <c r="A2723" s="3" t="s">
        <v>5</v>
      </c>
      <c r="B2723" s="3" t="s">
        <v>720</v>
      </c>
      <c r="C2723" s="3" t="s">
        <v>142</v>
      </c>
      <c r="D2723" s="4">
        <f>HYPERLINK("https://cao.dolgi.msk.ru/account/1060542244/", 1060542244)</f>
        <v>1060542244</v>
      </c>
      <c r="E2723" s="3">
        <v>15383.52</v>
      </c>
    </row>
    <row r="2724" spans="1:5" x14ac:dyDescent="0.25">
      <c r="A2724" s="3" t="s">
        <v>5</v>
      </c>
      <c r="B2724" s="3" t="s">
        <v>720</v>
      </c>
      <c r="C2724" s="3" t="s">
        <v>57</v>
      </c>
      <c r="D2724" s="4">
        <f>HYPERLINK("https://cao.dolgi.msk.ru/account/1060542842/", 1060542842)</f>
        <v>1060542842</v>
      </c>
      <c r="E2724" s="3">
        <v>30454.29</v>
      </c>
    </row>
    <row r="2725" spans="1:5" x14ac:dyDescent="0.25">
      <c r="A2725" s="3" t="s">
        <v>5</v>
      </c>
      <c r="B2725" s="3" t="s">
        <v>720</v>
      </c>
      <c r="C2725" s="3" t="s">
        <v>83</v>
      </c>
      <c r="D2725" s="4">
        <f>HYPERLINK("https://cao.dolgi.msk.ru/account/1060543108/", 1060543108)</f>
        <v>1060543108</v>
      </c>
      <c r="E2725" s="3">
        <v>4686.5</v>
      </c>
    </row>
    <row r="2726" spans="1:5" x14ac:dyDescent="0.25">
      <c r="A2726" s="3" t="s">
        <v>5</v>
      </c>
      <c r="B2726" s="3" t="s">
        <v>720</v>
      </c>
      <c r="C2726" s="3" t="s">
        <v>151</v>
      </c>
      <c r="D2726" s="4">
        <f>HYPERLINK("https://cao.dolgi.msk.ru/account/1060543589/", 1060543589)</f>
        <v>1060543589</v>
      </c>
      <c r="E2726" s="3">
        <v>4915.3599999999997</v>
      </c>
    </row>
    <row r="2727" spans="1:5" x14ac:dyDescent="0.25">
      <c r="A2727" s="3" t="s">
        <v>5</v>
      </c>
      <c r="B2727" s="3" t="s">
        <v>720</v>
      </c>
      <c r="C2727" s="3" t="s">
        <v>152</v>
      </c>
      <c r="D2727" s="4">
        <f>HYPERLINK("https://cao.dolgi.msk.ru/account/1060543597/", 1060543597)</f>
        <v>1060543597</v>
      </c>
      <c r="E2727" s="3">
        <v>34705.589999999997</v>
      </c>
    </row>
    <row r="2728" spans="1:5" x14ac:dyDescent="0.25">
      <c r="A2728" s="3" t="s">
        <v>5</v>
      </c>
      <c r="B2728" s="3" t="s">
        <v>720</v>
      </c>
      <c r="C2728" s="3" t="s">
        <v>170</v>
      </c>
      <c r="D2728" s="4">
        <f>HYPERLINK("https://cao.dolgi.msk.ru/account/1060543829/", 1060543829)</f>
        <v>1060543829</v>
      </c>
      <c r="E2728" s="3">
        <v>10443.17</v>
      </c>
    </row>
    <row r="2729" spans="1:5" x14ac:dyDescent="0.25">
      <c r="A2729" s="3" t="s">
        <v>5</v>
      </c>
      <c r="B2729" s="3" t="s">
        <v>720</v>
      </c>
      <c r="C2729" s="3" t="s">
        <v>203</v>
      </c>
      <c r="D2729" s="4">
        <f>HYPERLINK("https://cao.dolgi.msk.ru/account/1060544223/", 1060544223)</f>
        <v>1060544223</v>
      </c>
      <c r="E2729" s="3">
        <v>16579.05</v>
      </c>
    </row>
    <row r="2730" spans="1:5" x14ac:dyDescent="0.25">
      <c r="A2730" s="3" t="s">
        <v>5</v>
      </c>
      <c r="B2730" s="3" t="s">
        <v>720</v>
      </c>
      <c r="C2730" s="3" t="s">
        <v>204</v>
      </c>
      <c r="D2730" s="4">
        <f>HYPERLINK("https://cao.dolgi.msk.ru/account/1060544231/", 1060544231)</f>
        <v>1060544231</v>
      </c>
      <c r="E2730" s="3">
        <v>31223.89</v>
      </c>
    </row>
    <row r="2731" spans="1:5" x14ac:dyDescent="0.25">
      <c r="A2731" s="3" t="s">
        <v>5</v>
      </c>
      <c r="B2731" s="3" t="s">
        <v>720</v>
      </c>
      <c r="C2731" s="3" t="s">
        <v>211</v>
      </c>
      <c r="D2731" s="4">
        <f>HYPERLINK("https://cao.dolgi.msk.ru/account/1060544274/", 1060544274)</f>
        <v>1060544274</v>
      </c>
      <c r="E2731" s="3">
        <v>6151.68</v>
      </c>
    </row>
    <row r="2732" spans="1:5" x14ac:dyDescent="0.25">
      <c r="A2732" s="3" t="s">
        <v>5</v>
      </c>
      <c r="B2732" s="3" t="s">
        <v>721</v>
      </c>
      <c r="C2732" s="3" t="s">
        <v>140</v>
      </c>
      <c r="D2732" s="4">
        <f>HYPERLINK("https://cao.dolgi.msk.ru/account/1069138723/", 1069138723)</f>
        <v>1069138723</v>
      </c>
      <c r="E2732" s="3">
        <v>6660.51</v>
      </c>
    </row>
    <row r="2733" spans="1:5" x14ac:dyDescent="0.25">
      <c r="A2733" s="3" t="s">
        <v>5</v>
      </c>
      <c r="B2733" s="3" t="s">
        <v>721</v>
      </c>
      <c r="C2733" s="3" t="s">
        <v>22</v>
      </c>
      <c r="D2733" s="4">
        <f>HYPERLINK("https://cao.dolgi.msk.ru/account/1069143653/", 1069143653)</f>
        <v>1069143653</v>
      </c>
      <c r="E2733" s="3">
        <v>13943.19</v>
      </c>
    </row>
    <row r="2734" spans="1:5" x14ac:dyDescent="0.25">
      <c r="A2734" s="3" t="s">
        <v>5</v>
      </c>
      <c r="B2734" s="3" t="s">
        <v>721</v>
      </c>
      <c r="C2734" s="3" t="s">
        <v>61</v>
      </c>
      <c r="D2734" s="4">
        <f>HYPERLINK("https://cao.dolgi.msk.ru/account/1069138651/", 1069138651)</f>
        <v>1069138651</v>
      </c>
      <c r="E2734" s="3">
        <v>14050.26</v>
      </c>
    </row>
    <row r="2735" spans="1:5" x14ac:dyDescent="0.25">
      <c r="A2735" s="3" t="s">
        <v>5</v>
      </c>
      <c r="B2735" s="3" t="s">
        <v>721</v>
      </c>
      <c r="C2735" s="3" t="s">
        <v>144</v>
      </c>
      <c r="D2735" s="4">
        <f>HYPERLINK("https://cao.dolgi.msk.ru/account/1069146918/", 1069146918)</f>
        <v>1069146918</v>
      </c>
      <c r="E2735" s="3">
        <v>34194.53</v>
      </c>
    </row>
    <row r="2736" spans="1:5" x14ac:dyDescent="0.25">
      <c r="A2736" s="3" t="s">
        <v>5</v>
      </c>
      <c r="B2736" s="3" t="s">
        <v>721</v>
      </c>
      <c r="C2736" s="3" t="s">
        <v>111</v>
      </c>
      <c r="D2736" s="4">
        <f>HYPERLINK("https://cao.dolgi.msk.ru/account/1069140436/", 1069140436)</f>
        <v>1069140436</v>
      </c>
      <c r="E2736" s="3">
        <v>4752.32</v>
      </c>
    </row>
    <row r="2737" spans="1:5" x14ac:dyDescent="0.25">
      <c r="A2737" s="3" t="s">
        <v>5</v>
      </c>
      <c r="B2737" s="3" t="s">
        <v>721</v>
      </c>
      <c r="C2737" s="3" t="s">
        <v>112</v>
      </c>
      <c r="D2737" s="4">
        <f>HYPERLINK("https://cao.dolgi.msk.ru/account/1069140444/", 1069140444)</f>
        <v>1069140444</v>
      </c>
      <c r="E2737" s="3">
        <v>486614.81</v>
      </c>
    </row>
    <row r="2738" spans="1:5" x14ac:dyDescent="0.25">
      <c r="A2738" s="3" t="s">
        <v>5</v>
      </c>
      <c r="B2738" s="3" t="s">
        <v>721</v>
      </c>
      <c r="C2738" s="3" t="s">
        <v>115</v>
      </c>
      <c r="D2738" s="4">
        <f>HYPERLINK("https://cao.dolgi.msk.ru/account/1060817439/", 1060817439)</f>
        <v>1060817439</v>
      </c>
      <c r="E2738" s="3">
        <v>4136.6899999999996</v>
      </c>
    </row>
    <row r="2739" spans="1:5" x14ac:dyDescent="0.25">
      <c r="A2739" s="3" t="s">
        <v>5</v>
      </c>
      <c r="B2739" s="3" t="s">
        <v>721</v>
      </c>
      <c r="C2739" s="3" t="s">
        <v>166</v>
      </c>
      <c r="D2739" s="4">
        <f>HYPERLINK("https://cao.dolgi.msk.ru/account/1069143274/", 1069143274)</f>
        <v>1069143274</v>
      </c>
      <c r="E2739" s="3">
        <v>10727.27</v>
      </c>
    </row>
    <row r="2740" spans="1:5" x14ac:dyDescent="0.25">
      <c r="A2740" s="3" t="s">
        <v>5</v>
      </c>
      <c r="B2740" s="3" t="s">
        <v>721</v>
      </c>
      <c r="C2740" s="3" t="s">
        <v>195</v>
      </c>
      <c r="D2740" s="4">
        <f>HYPERLINK("https://cao.dolgi.msk.ru/account/1069138686/", 1069138686)</f>
        <v>1069138686</v>
      </c>
      <c r="E2740" s="3">
        <v>99914.34</v>
      </c>
    </row>
    <row r="2741" spans="1:5" x14ac:dyDescent="0.25">
      <c r="A2741" s="3" t="s">
        <v>5</v>
      </c>
      <c r="B2741" s="3" t="s">
        <v>721</v>
      </c>
      <c r="C2741" s="3" t="s">
        <v>216</v>
      </c>
      <c r="D2741" s="4">
        <f>HYPERLINK("https://cao.dolgi.msk.ru/account/1069139726/", 1069139726)</f>
        <v>1069139726</v>
      </c>
      <c r="E2741" s="3">
        <v>22079.27</v>
      </c>
    </row>
    <row r="2742" spans="1:5" x14ac:dyDescent="0.25">
      <c r="A2742" s="3" t="s">
        <v>5</v>
      </c>
      <c r="B2742" s="3" t="s">
        <v>721</v>
      </c>
      <c r="C2742" s="3" t="s">
        <v>230</v>
      </c>
      <c r="D2742" s="4">
        <f>HYPERLINK("https://cao.dolgi.msk.ru/account/1060815417/", 1060815417)</f>
        <v>1060815417</v>
      </c>
      <c r="E2742" s="3">
        <v>13440.66</v>
      </c>
    </row>
    <row r="2743" spans="1:5" x14ac:dyDescent="0.25">
      <c r="A2743" s="3" t="s">
        <v>5</v>
      </c>
      <c r="B2743" s="3" t="s">
        <v>721</v>
      </c>
      <c r="C2743" s="3" t="s">
        <v>279</v>
      </c>
      <c r="D2743" s="4">
        <f>HYPERLINK("https://cao.dolgi.msk.ru/account/1069147857/", 1069147857)</f>
        <v>1069147857</v>
      </c>
      <c r="E2743" s="3">
        <v>13284.93</v>
      </c>
    </row>
    <row r="2744" spans="1:5" x14ac:dyDescent="0.25">
      <c r="A2744" s="3" t="s">
        <v>5</v>
      </c>
      <c r="B2744" s="3" t="s">
        <v>721</v>
      </c>
      <c r="C2744" s="3" t="s">
        <v>118</v>
      </c>
      <c r="D2744" s="4">
        <f>HYPERLINK("https://cao.dolgi.msk.ru/account/1069148235/", 1069148235)</f>
        <v>1069148235</v>
      </c>
      <c r="E2744" s="3">
        <v>19448.45</v>
      </c>
    </row>
    <row r="2745" spans="1:5" x14ac:dyDescent="0.25">
      <c r="A2745" s="3" t="s">
        <v>5</v>
      </c>
      <c r="B2745" s="3" t="s">
        <v>721</v>
      </c>
      <c r="C2745" s="3" t="s">
        <v>123</v>
      </c>
      <c r="D2745" s="4">
        <f>HYPERLINK("https://cao.dolgi.msk.ru/account/1060818378/", 1060818378)</f>
        <v>1060818378</v>
      </c>
      <c r="E2745" s="3">
        <v>43947.7</v>
      </c>
    </row>
    <row r="2746" spans="1:5" x14ac:dyDescent="0.25">
      <c r="A2746" s="3" t="s">
        <v>5</v>
      </c>
      <c r="B2746" s="3" t="s">
        <v>721</v>
      </c>
      <c r="C2746" s="3" t="s">
        <v>126</v>
      </c>
      <c r="D2746" s="4">
        <f>HYPERLINK("https://cao.dolgi.msk.ru/account/1069137405/", 1069137405)</f>
        <v>1069137405</v>
      </c>
      <c r="E2746" s="3">
        <v>19790.150000000001</v>
      </c>
    </row>
    <row r="2747" spans="1:5" x14ac:dyDescent="0.25">
      <c r="A2747" s="3" t="s">
        <v>5</v>
      </c>
      <c r="B2747" s="3" t="s">
        <v>721</v>
      </c>
      <c r="C2747" s="3" t="s">
        <v>128</v>
      </c>
      <c r="D2747" s="4">
        <f>HYPERLINK("https://cao.dolgi.msk.ru/account/1069138707/", 1069138707)</f>
        <v>1069138707</v>
      </c>
      <c r="E2747" s="3">
        <v>12921.97</v>
      </c>
    </row>
    <row r="2748" spans="1:5" x14ac:dyDescent="0.25">
      <c r="A2748" s="3" t="s">
        <v>5</v>
      </c>
      <c r="B2748" s="3" t="s">
        <v>721</v>
      </c>
      <c r="C2748" s="3" t="s">
        <v>315</v>
      </c>
      <c r="D2748" s="4">
        <f>HYPERLINK("https://cao.dolgi.msk.ru/account/1069140591/", 1069140591)</f>
        <v>1069140591</v>
      </c>
      <c r="E2748" s="3">
        <v>15339</v>
      </c>
    </row>
    <row r="2749" spans="1:5" x14ac:dyDescent="0.25">
      <c r="A2749" s="3" t="s">
        <v>5</v>
      </c>
      <c r="B2749" s="3" t="s">
        <v>721</v>
      </c>
      <c r="C2749" s="3" t="s">
        <v>722</v>
      </c>
      <c r="D2749" s="4">
        <f>HYPERLINK("https://cao.dolgi.msk.ru/account/1069148147/", 1069148147)</f>
        <v>1069148147</v>
      </c>
      <c r="E2749" s="3">
        <v>45859.99</v>
      </c>
    </row>
    <row r="2750" spans="1:5" x14ac:dyDescent="0.25">
      <c r="A2750" s="3" t="s">
        <v>5</v>
      </c>
      <c r="B2750" s="3" t="s">
        <v>721</v>
      </c>
      <c r="C2750" s="3" t="s">
        <v>335</v>
      </c>
      <c r="D2750" s="4">
        <f>HYPERLINK("https://cao.dolgi.msk.ru/account/1069140508/", 1069140508)</f>
        <v>1069140508</v>
      </c>
      <c r="E2750" s="3">
        <v>5660.85</v>
      </c>
    </row>
    <row r="2751" spans="1:5" x14ac:dyDescent="0.25">
      <c r="A2751" s="3" t="s">
        <v>5</v>
      </c>
      <c r="B2751" s="3" t="s">
        <v>721</v>
      </c>
      <c r="C2751" s="3" t="s">
        <v>338</v>
      </c>
      <c r="D2751" s="4">
        <f>HYPERLINK("https://cao.dolgi.msk.ru/account/1069139072/", 1069139072)</f>
        <v>1069139072</v>
      </c>
      <c r="E2751" s="3">
        <v>23023.72</v>
      </c>
    </row>
    <row r="2752" spans="1:5" x14ac:dyDescent="0.25">
      <c r="A2752" s="3" t="s">
        <v>5</v>
      </c>
      <c r="B2752" s="3" t="s">
        <v>723</v>
      </c>
      <c r="C2752" s="3" t="s">
        <v>51</v>
      </c>
      <c r="D2752" s="4">
        <f>HYPERLINK("https://cao.dolgi.msk.ru/account/1060302937/", 1060302937)</f>
        <v>1060302937</v>
      </c>
      <c r="E2752" s="3">
        <v>2885.06</v>
      </c>
    </row>
    <row r="2753" spans="1:5" x14ac:dyDescent="0.25">
      <c r="A2753" s="3" t="s">
        <v>5</v>
      </c>
      <c r="B2753" s="3" t="s">
        <v>723</v>
      </c>
      <c r="C2753" s="3" t="s">
        <v>138</v>
      </c>
      <c r="D2753" s="4">
        <f>HYPERLINK("https://cao.dolgi.msk.ru/account/1060303091/", 1060303091)</f>
        <v>1060303091</v>
      </c>
      <c r="E2753" s="3">
        <v>58392.67</v>
      </c>
    </row>
    <row r="2754" spans="1:5" x14ac:dyDescent="0.25">
      <c r="A2754" s="3" t="s">
        <v>5</v>
      </c>
      <c r="B2754" s="3" t="s">
        <v>723</v>
      </c>
      <c r="C2754" s="3" t="s">
        <v>33</v>
      </c>
      <c r="D2754" s="4">
        <f>HYPERLINK("https://cao.dolgi.msk.ru/account/1060303454/", 1060303454)</f>
        <v>1060303454</v>
      </c>
      <c r="E2754" s="3">
        <v>9205.33</v>
      </c>
    </row>
    <row r="2755" spans="1:5" x14ac:dyDescent="0.25">
      <c r="A2755" s="3" t="s">
        <v>5</v>
      </c>
      <c r="B2755" s="3" t="s">
        <v>723</v>
      </c>
      <c r="C2755" s="3" t="s">
        <v>44</v>
      </c>
      <c r="D2755" s="4">
        <f>HYPERLINK("https://cao.dolgi.msk.ru/account/1060303593/", 1060303593)</f>
        <v>1060303593</v>
      </c>
      <c r="E2755" s="3">
        <v>374364.03</v>
      </c>
    </row>
    <row r="2756" spans="1:5" x14ac:dyDescent="0.25">
      <c r="A2756" s="3" t="s">
        <v>5</v>
      </c>
      <c r="B2756" s="3" t="s">
        <v>723</v>
      </c>
      <c r="C2756" s="3" t="s">
        <v>55</v>
      </c>
      <c r="D2756" s="4">
        <f>HYPERLINK("https://cao.dolgi.msk.ru/account/1060303729/", 1060303729)</f>
        <v>1060303729</v>
      </c>
      <c r="E2756" s="3">
        <v>16431.68</v>
      </c>
    </row>
    <row r="2757" spans="1:5" x14ac:dyDescent="0.25">
      <c r="A2757" s="3" t="s">
        <v>5</v>
      </c>
      <c r="B2757" s="3" t="s">
        <v>723</v>
      </c>
      <c r="C2757" s="3" t="s">
        <v>61</v>
      </c>
      <c r="D2757" s="4">
        <f>HYPERLINK("https://cao.dolgi.msk.ru/account/1060303796/", 1060303796)</f>
        <v>1060303796</v>
      </c>
      <c r="E2757" s="3">
        <v>5732.29</v>
      </c>
    </row>
    <row r="2758" spans="1:5" x14ac:dyDescent="0.25">
      <c r="A2758" s="3" t="s">
        <v>5</v>
      </c>
      <c r="B2758" s="3" t="s">
        <v>723</v>
      </c>
      <c r="C2758" s="3" t="s">
        <v>73</v>
      </c>
      <c r="D2758" s="4">
        <f>HYPERLINK("https://cao.dolgi.msk.ru/account/1060303876/", 1060303876)</f>
        <v>1060303876</v>
      </c>
      <c r="E2758" s="3">
        <v>26991.63</v>
      </c>
    </row>
    <row r="2759" spans="1:5" x14ac:dyDescent="0.25">
      <c r="A2759" s="3" t="s">
        <v>5</v>
      </c>
      <c r="B2759" s="3" t="s">
        <v>723</v>
      </c>
      <c r="C2759" s="3" t="s">
        <v>86</v>
      </c>
      <c r="D2759" s="4">
        <f>HYPERLINK("https://cao.dolgi.msk.ru/account/1060304043/", 1060304043)</f>
        <v>1060304043</v>
      </c>
      <c r="E2759" s="3">
        <v>3677.88</v>
      </c>
    </row>
    <row r="2760" spans="1:5" x14ac:dyDescent="0.25">
      <c r="A2760" s="3" t="s">
        <v>5</v>
      </c>
      <c r="B2760" s="3" t="s">
        <v>724</v>
      </c>
      <c r="C2760" s="3" t="s">
        <v>138</v>
      </c>
      <c r="D2760" s="4">
        <f>HYPERLINK("https://cao.dolgi.msk.ru/account/1060304465/", 1060304465)</f>
        <v>1060304465</v>
      </c>
      <c r="E2760" s="3">
        <v>19102.27</v>
      </c>
    </row>
    <row r="2761" spans="1:5" x14ac:dyDescent="0.25">
      <c r="A2761" s="3" t="s">
        <v>5</v>
      </c>
      <c r="B2761" s="3" t="s">
        <v>724</v>
      </c>
      <c r="C2761" s="3" t="s">
        <v>7</v>
      </c>
      <c r="D2761" s="4">
        <f>HYPERLINK("https://cao.dolgi.msk.ru/account/1060304553/", 1060304553)</f>
        <v>1060304553</v>
      </c>
      <c r="E2761" s="3">
        <v>10784.97</v>
      </c>
    </row>
    <row r="2762" spans="1:5" x14ac:dyDescent="0.25">
      <c r="A2762" s="3" t="s">
        <v>5</v>
      </c>
      <c r="B2762" s="3" t="s">
        <v>724</v>
      </c>
      <c r="C2762" s="3" t="s">
        <v>10</v>
      </c>
      <c r="D2762" s="4">
        <f>HYPERLINK("https://cao.dolgi.msk.ru/account/1060304561/", 1060304561)</f>
        <v>1060304561</v>
      </c>
      <c r="E2762" s="3">
        <v>7194.3</v>
      </c>
    </row>
    <row r="2763" spans="1:5" x14ac:dyDescent="0.25">
      <c r="A2763" s="3" t="s">
        <v>5</v>
      </c>
      <c r="B2763" s="3" t="s">
        <v>724</v>
      </c>
      <c r="C2763" s="3" t="s">
        <v>14</v>
      </c>
      <c r="D2763" s="4">
        <f>HYPERLINK("https://cao.dolgi.msk.ru/account/1060304617/", 1060304617)</f>
        <v>1060304617</v>
      </c>
      <c r="E2763" s="3">
        <v>19475.75</v>
      </c>
    </row>
    <row r="2764" spans="1:5" x14ac:dyDescent="0.25">
      <c r="A2764" s="3" t="s">
        <v>5</v>
      </c>
      <c r="B2764" s="3" t="s">
        <v>724</v>
      </c>
      <c r="C2764" s="3" t="s">
        <v>22</v>
      </c>
      <c r="D2764" s="4">
        <f>HYPERLINK("https://cao.dolgi.msk.ru/account/1060304713/", 1060304713)</f>
        <v>1060304713</v>
      </c>
      <c r="E2764" s="3">
        <v>8821.69</v>
      </c>
    </row>
    <row r="2765" spans="1:5" x14ac:dyDescent="0.25">
      <c r="A2765" s="3" t="s">
        <v>5</v>
      </c>
      <c r="B2765" s="3" t="s">
        <v>724</v>
      </c>
      <c r="C2765" s="3" t="s">
        <v>32</v>
      </c>
      <c r="D2765" s="4">
        <f>HYPERLINK("https://cao.dolgi.msk.ru/account/1060304879/", 1060304879)</f>
        <v>1060304879</v>
      </c>
      <c r="E2765" s="3">
        <v>22175.54</v>
      </c>
    </row>
    <row r="2766" spans="1:5" x14ac:dyDescent="0.25">
      <c r="A2766" s="3" t="s">
        <v>5</v>
      </c>
      <c r="B2766" s="3" t="s">
        <v>724</v>
      </c>
      <c r="C2766" s="3" t="s">
        <v>35</v>
      </c>
      <c r="D2766" s="4">
        <f>HYPERLINK("https://cao.dolgi.msk.ru/account/1060304908/", 1060304908)</f>
        <v>1060304908</v>
      </c>
      <c r="E2766" s="3">
        <v>33151.67</v>
      </c>
    </row>
    <row r="2767" spans="1:5" x14ac:dyDescent="0.25">
      <c r="A2767" s="3" t="s">
        <v>5</v>
      </c>
      <c r="B2767" s="3" t="s">
        <v>724</v>
      </c>
      <c r="C2767" s="3" t="s">
        <v>36</v>
      </c>
      <c r="D2767" s="4">
        <f>HYPERLINK("https://cao.dolgi.msk.ru/account/1060304916/", 1060304916)</f>
        <v>1060304916</v>
      </c>
      <c r="E2767" s="3">
        <v>21909.05</v>
      </c>
    </row>
    <row r="2768" spans="1:5" x14ac:dyDescent="0.25">
      <c r="A2768" s="3" t="s">
        <v>5</v>
      </c>
      <c r="B2768" s="3" t="s">
        <v>724</v>
      </c>
      <c r="C2768" s="3" t="s">
        <v>52</v>
      </c>
      <c r="D2768" s="4">
        <f>HYPERLINK("https://cao.dolgi.msk.ru/account/1060305097/", 1060305097)</f>
        <v>1060305097</v>
      </c>
      <c r="E2768" s="3">
        <v>97646.95</v>
      </c>
    </row>
    <row r="2769" spans="1:5" x14ac:dyDescent="0.25">
      <c r="A2769" s="3" t="s">
        <v>5</v>
      </c>
      <c r="B2769" s="3" t="s">
        <v>724</v>
      </c>
      <c r="C2769" s="3" t="s">
        <v>116</v>
      </c>
      <c r="D2769" s="4">
        <f>HYPERLINK("https://cao.dolgi.msk.ru/account/1060305898/", 1060305898)</f>
        <v>1060305898</v>
      </c>
      <c r="E2769" s="3">
        <v>48262.98</v>
      </c>
    </row>
    <row r="2770" spans="1:5" x14ac:dyDescent="0.25">
      <c r="A2770" s="3" t="s">
        <v>5</v>
      </c>
      <c r="B2770" s="3" t="s">
        <v>725</v>
      </c>
      <c r="C2770" s="3" t="s">
        <v>132</v>
      </c>
      <c r="D2770" s="4">
        <f>HYPERLINK("https://cao.dolgi.msk.ru/account/1060306057/", 1060306057)</f>
        <v>1060306057</v>
      </c>
      <c r="E2770" s="3">
        <v>105256.81</v>
      </c>
    </row>
    <row r="2771" spans="1:5" x14ac:dyDescent="0.25">
      <c r="A2771" s="3" t="s">
        <v>5</v>
      </c>
      <c r="B2771" s="3" t="s">
        <v>725</v>
      </c>
      <c r="C2771" s="3" t="s">
        <v>132</v>
      </c>
      <c r="D2771" s="4">
        <f>HYPERLINK("https://cao.dolgi.msk.ru/account/1060306065/", 1060306065)</f>
        <v>1060306065</v>
      </c>
      <c r="E2771" s="3">
        <v>17966.310000000001</v>
      </c>
    </row>
    <row r="2772" spans="1:5" x14ac:dyDescent="0.25">
      <c r="A2772" s="3" t="s">
        <v>5</v>
      </c>
      <c r="B2772" s="3" t="s">
        <v>725</v>
      </c>
      <c r="C2772" s="3" t="s">
        <v>140</v>
      </c>
      <c r="D2772" s="4">
        <f>HYPERLINK("https://cao.dolgi.msk.ru/account/1060306161/", 1060306161)</f>
        <v>1060306161</v>
      </c>
      <c r="E2772" s="3">
        <v>20113.560000000001</v>
      </c>
    </row>
    <row r="2773" spans="1:5" x14ac:dyDescent="0.25">
      <c r="A2773" s="3" t="s">
        <v>5</v>
      </c>
      <c r="B2773" s="3" t="s">
        <v>725</v>
      </c>
      <c r="C2773" s="3" t="s">
        <v>13</v>
      </c>
      <c r="D2773" s="4">
        <f>HYPERLINK("https://cao.dolgi.msk.ru/account/1060306284/", 1060306284)</f>
        <v>1060306284</v>
      </c>
      <c r="E2773" s="3">
        <v>5660.5</v>
      </c>
    </row>
    <row r="2774" spans="1:5" x14ac:dyDescent="0.25">
      <c r="A2774" s="3" t="s">
        <v>5</v>
      </c>
      <c r="B2774" s="3" t="s">
        <v>725</v>
      </c>
      <c r="C2774" s="3" t="s">
        <v>35</v>
      </c>
      <c r="D2774" s="4">
        <f>HYPERLINK("https://cao.dolgi.msk.ru/account/1060306559/", 1060306559)</f>
        <v>1060306559</v>
      </c>
      <c r="E2774" s="3">
        <v>15263.25</v>
      </c>
    </row>
    <row r="2775" spans="1:5" x14ac:dyDescent="0.25">
      <c r="A2775" s="3" t="s">
        <v>5</v>
      </c>
      <c r="B2775" s="3" t="s">
        <v>725</v>
      </c>
      <c r="C2775" s="3" t="s">
        <v>39</v>
      </c>
      <c r="D2775" s="4">
        <f>HYPERLINK("https://cao.dolgi.msk.ru/account/1060306591/", 1060306591)</f>
        <v>1060306591</v>
      </c>
      <c r="E2775" s="3">
        <v>19826.150000000001</v>
      </c>
    </row>
    <row r="2776" spans="1:5" x14ac:dyDescent="0.25">
      <c r="A2776" s="3" t="s">
        <v>5</v>
      </c>
      <c r="B2776" s="3" t="s">
        <v>725</v>
      </c>
      <c r="C2776" s="3" t="s">
        <v>46</v>
      </c>
      <c r="D2776" s="4">
        <f>HYPERLINK("https://cao.dolgi.msk.ru/account/1060306671/", 1060306671)</f>
        <v>1060306671</v>
      </c>
      <c r="E2776" s="3">
        <v>44767.53</v>
      </c>
    </row>
    <row r="2777" spans="1:5" x14ac:dyDescent="0.25">
      <c r="A2777" s="3" t="s">
        <v>5</v>
      </c>
      <c r="B2777" s="3" t="s">
        <v>725</v>
      </c>
      <c r="C2777" s="3" t="s">
        <v>46</v>
      </c>
      <c r="D2777" s="4">
        <f>HYPERLINK("https://cao.dolgi.msk.ru/account/1060816209/", 1060816209)</f>
        <v>1060816209</v>
      </c>
      <c r="E2777" s="3">
        <v>48538.66</v>
      </c>
    </row>
    <row r="2778" spans="1:5" x14ac:dyDescent="0.25">
      <c r="A2778" s="3" t="s">
        <v>5</v>
      </c>
      <c r="B2778" s="3" t="s">
        <v>725</v>
      </c>
      <c r="C2778" s="3" t="s">
        <v>57</v>
      </c>
      <c r="D2778" s="4">
        <f>HYPERLINK("https://cao.dolgi.msk.ru/account/1060306807/", 1060306807)</f>
        <v>1060306807</v>
      </c>
      <c r="E2778" s="3">
        <v>23705.87</v>
      </c>
    </row>
    <row r="2779" spans="1:5" x14ac:dyDescent="0.25">
      <c r="A2779" s="3" t="s">
        <v>5</v>
      </c>
      <c r="B2779" s="3" t="s">
        <v>726</v>
      </c>
      <c r="C2779" s="3" t="s">
        <v>51</v>
      </c>
      <c r="D2779" s="4">
        <f>HYPERLINK("https://cao.dolgi.msk.ru/account/1060547109/", 1060547109)</f>
        <v>1060547109</v>
      </c>
      <c r="E2779" s="3">
        <v>23542.48</v>
      </c>
    </row>
    <row r="2780" spans="1:5" x14ac:dyDescent="0.25">
      <c r="A2780" s="3" t="s">
        <v>5</v>
      </c>
      <c r="B2780" s="3" t="s">
        <v>726</v>
      </c>
      <c r="C2780" s="3" t="s">
        <v>9</v>
      </c>
      <c r="D2780" s="4">
        <f>HYPERLINK("https://cao.dolgi.msk.ru/account/1060547168/", 1060547168)</f>
        <v>1060547168</v>
      </c>
      <c r="E2780" s="3">
        <v>12351.33</v>
      </c>
    </row>
    <row r="2781" spans="1:5" x14ac:dyDescent="0.25">
      <c r="A2781" s="3" t="s">
        <v>5</v>
      </c>
      <c r="B2781" s="3" t="s">
        <v>726</v>
      </c>
      <c r="C2781" s="3" t="s">
        <v>10</v>
      </c>
      <c r="D2781" s="4">
        <f>HYPERLINK("https://cao.dolgi.msk.ru/account/1060547344/", 1060547344)</f>
        <v>1060547344</v>
      </c>
      <c r="E2781" s="3">
        <v>9482.89</v>
      </c>
    </row>
    <row r="2782" spans="1:5" x14ac:dyDescent="0.25">
      <c r="A2782" s="3" t="s">
        <v>5</v>
      </c>
      <c r="B2782" s="3" t="s">
        <v>727</v>
      </c>
      <c r="C2782" s="3" t="s">
        <v>134</v>
      </c>
      <c r="D2782" s="4">
        <f>HYPERLINK("https://cao.dolgi.msk.ru/account/1060896747/", 1060896747)</f>
        <v>1060896747</v>
      </c>
      <c r="E2782" s="3">
        <v>5244.94</v>
      </c>
    </row>
    <row r="2783" spans="1:5" x14ac:dyDescent="0.25">
      <c r="A2783" s="3" t="s">
        <v>5</v>
      </c>
      <c r="B2783" s="3" t="s">
        <v>727</v>
      </c>
      <c r="C2783" s="3" t="s">
        <v>136</v>
      </c>
      <c r="D2783" s="4">
        <f>HYPERLINK("https://cao.dolgi.msk.ru/account/1060547571/", 1060547571)</f>
        <v>1060547571</v>
      </c>
      <c r="E2783" s="3">
        <v>36115.980000000003</v>
      </c>
    </row>
    <row r="2784" spans="1:5" x14ac:dyDescent="0.25">
      <c r="A2784" s="3" t="s">
        <v>5</v>
      </c>
      <c r="B2784" s="3" t="s">
        <v>727</v>
      </c>
      <c r="C2784" s="3" t="s">
        <v>11</v>
      </c>
      <c r="D2784" s="4">
        <f>HYPERLINK("https://cao.dolgi.msk.ru/account/1060547707/", 1060547707)</f>
        <v>1060547707</v>
      </c>
      <c r="E2784" s="3">
        <v>16205.23</v>
      </c>
    </row>
    <row r="2785" spans="1:5" x14ac:dyDescent="0.25">
      <c r="A2785" s="3" t="s">
        <v>5</v>
      </c>
      <c r="B2785" s="3" t="s">
        <v>727</v>
      </c>
      <c r="C2785" s="3" t="s">
        <v>12</v>
      </c>
      <c r="D2785" s="4">
        <f>HYPERLINK("https://cao.dolgi.msk.ru/account/1060547715/", 1060547715)</f>
        <v>1060547715</v>
      </c>
      <c r="E2785" s="3">
        <v>55507.76</v>
      </c>
    </row>
    <row r="2786" spans="1:5" x14ac:dyDescent="0.25">
      <c r="A2786" s="3" t="s">
        <v>5</v>
      </c>
      <c r="B2786" s="3" t="s">
        <v>728</v>
      </c>
      <c r="C2786" s="3" t="s">
        <v>12</v>
      </c>
      <c r="D2786" s="4">
        <f>HYPERLINK("https://cao.dolgi.msk.ru/account/1060041765/", 1060041765)</f>
        <v>1060041765</v>
      </c>
      <c r="E2786" s="3">
        <v>91767.53</v>
      </c>
    </row>
    <row r="2787" spans="1:5" x14ac:dyDescent="0.25">
      <c r="A2787" s="3" t="s">
        <v>5</v>
      </c>
      <c r="B2787" s="3" t="s">
        <v>728</v>
      </c>
      <c r="C2787" s="3" t="s">
        <v>18</v>
      </c>
      <c r="D2787" s="4">
        <f>HYPERLINK("https://cao.dolgi.msk.ru/account/1060041845/", 1060041845)</f>
        <v>1060041845</v>
      </c>
      <c r="E2787" s="3">
        <v>4787.1499999999996</v>
      </c>
    </row>
    <row r="2788" spans="1:5" x14ac:dyDescent="0.25">
      <c r="A2788" s="3" t="s">
        <v>5</v>
      </c>
      <c r="B2788" s="3" t="s">
        <v>728</v>
      </c>
      <c r="C2788" s="3" t="s">
        <v>19</v>
      </c>
      <c r="D2788" s="4">
        <f>HYPERLINK("https://cao.dolgi.msk.ru/account/1060041853/", 1060041853)</f>
        <v>1060041853</v>
      </c>
      <c r="E2788" s="3">
        <v>53776.93</v>
      </c>
    </row>
    <row r="2789" spans="1:5" x14ac:dyDescent="0.25">
      <c r="A2789" s="3" t="s">
        <v>5</v>
      </c>
      <c r="B2789" s="3" t="s">
        <v>728</v>
      </c>
      <c r="C2789" s="3" t="s">
        <v>29</v>
      </c>
      <c r="D2789" s="4">
        <f>HYPERLINK("https://cao.dolgi.msk.ru/account/1060041984/", 1060041984)</f>
        <v>1060041984</v>
      </c>
      <c r="E2789" s="3">
        <v>9715.89</v>
      </c>
    </row>
    <row r="2790" spans="1:5" x14ac:dyDescent="0.25">
      <c r="A2790" s="3" t="s">
        <v>5</v>
      </c>
      <c r="B2790" s="3" t="s">
        <v>728</v>
      </c>
      <c r="C2790" s="3" t="s">
        <v>40</v>
      </c>
      <c r="D2790" s="4">
        <f>HYPERLINK("https://cao.dolgi.msk.ru/account/1060042127/", 1060042127)</f>
        <v>1060042127</v>
      </c>
      <c r="E2790" s="3">
        <v>5333.57</v>
      </c>
    </row>
    <row r="2791" spans="1:5" x14ac:dyDescent="0.25">
      <c r="A2791" s="3" t="s">
        <v>5</v>
      </c>
      <c r="B2791" s="3" t="s">
        <v>728</v>
      </c>
      <c r="C2791" s="3" t="s">
        <v>41</v>
      </c>
      <c r="D2791" s="4">
        <f>HYPERLINK("https://cao.dolgi.msk.ru/account/1060042135/", 1060042135)</f>
        <v>1060042135</v>
      </c>
      <c r="E2791" s="3">
        <v>5672.63</v>
      </c>
    </row>
    <row r="2792" spans="1:5" x14ac:dyDescent="0.25">
      <c r="A2792" s="3" t="s">
        <v>5</v>
      </c>
      <c r="B2792" s="3" t="s">
        <v>728</v>
      </c>
      <c r="C2792" s="3" t="s">
        <v>56</v>
      </c>
      <c r="D2792" s="4">
        <f>HYPERLINK("https://cao.dolgi.msk.ru/account/1060042338/", 1060042338)</f>
        <v>1060042338</v>
      </c>
      <c r="E2792" s="3">
        <v>27576.25</v>
      </c>
    </row>
    <row r="2793" spans="1:5" x14ac:dyDescent="0.25">
      <c r="A2793" s="3" t="s">
        <v>5</v>
      </c>
      <c r="B2793" s="3" t="s">
        <v>728</v>
      </c>
      <c r="C2793" s="3" t="s">
        <v>62</v>
      </c>
      <c r="D2793" s="4">
        <f>HYPERLINK("https://cao.dolgi.msk.ru/account/1060042434/", 1060042434)</f>
        <v>1060042434</v>
      </c>
      <c r="E2793" s="3">
        <v>22958.79</v>
      </c>
    </row>
    <row r="2794" spans="1:5" x14ac:dyDescent="0.25">
      <c r="A2794" s="3" t="s">
        <v>5</v>
      </c>
      <c r="B2794" s="3" t="s">
        <v>728</v>
      </c>
      <c r="C2794" s="3" t="s">
        <v>65</v>
      </c>
      <c r="D2794" s="4">
        <f>HYPERLINK("https://cao.dolgi.msk.ru/account/1060042477/", 1060042477)</f>
        <v>1060042477</v>
      </c>
      <c r="E2794" s="3">
        <v>47697.59</v>
      </c>
    </row>
    <row r="2795" spans="1:5" x14ac:dyDescent="0.25">
      <c r="A2795" s="3" t="s">
        <v>5</v>
      </c>
      <c r="B2795" s="3" t="s">
        <v>728</v>
      </c>
      <c r="C2795" s="3" t="s">
        <v>79</v>
      </c>
      <c r="D2795" s="4">
        <f>HYPERLINK("https://cao.dolgi.msk.ru/account/1060042602/", 1060042602)</f>
        <v>1060042602</v>
      </c>
      <c r="E2795" s="3">
        <v>18323.689999999999</v>
      </c>
    </row>
    <row r="2796" spans="1:5" x14ac:dyDescent="0.25">
      <c r="A2796" s="3" t="s">
        <v>5</v>
      </c>
      <c r="B2796" s="3" t="s">
        <v>728</v>
      </c>
      <c r="C2796" s="3" t="s">
        <v>88</v>
      </c>
      <c r="D2796" s="4">
        <f>HYPERLINK("https://cao.dolgi.msk.ru/account/1060042717/", 1060042717)</f>
        <v>1060042717</v>
      </c>
      <c r="E2796" s="3">
        <v>13770.9</v>
      </c>
    </row>
    <row r="2797" spans="1:5" x14ac:dyDescent="0.25">
      <c r="A2797" s="3" t="s">
        <v>5</v>
      </c>
      <c r="B2797" s="3" t="s">
        <v>729</v>
      </c>
      <c r="C2797" s="3" t="s">
        <v>10</v>
      </c>
      <c r="D2797" s="4">
        <f>HYPERLINK("https://cao.dolgi.msk.ru/account/1060568487/", 1060568487)</f>
        <v>1060568487</v>
      </c>
      <c r="E2797" s="3">
        <v>6467.41</v>
      </c>
    </row>
    <row r="2798" spans="1:5" x14ac:dyDescent="0.25">
      <c r="A2798" s="3" t="s">
        <v>5</v>
      </c>
      <c r="B2798" s="3" t="s">
        <v>729</v>
      </c>
      <c r="C2798" s="3" t="s">
        <v>65</v>
      </c>
      <c r="D2798" s="4">
        <f>HYPERLINK("https://cao.dolgi.msk.ru/account/1060569113/", 1060569113)</f>
        <v>1060569113</v>
      </c>
      <c r="E2798" s="3">
        <v>20955.240000000002</v>
      </c>
    </row>
    <row r="2799" spans="1:5" x14ac:dyDescent="0.25">
      <c r="A2799" s="3" t="s">
        <v>5</v>
      </c>
      <c r="B2799" s="3" t="s">
        <v>729</v>
      </c>
      <c r="C2799" s="3" t="s">
        <v>80</v>
      </c>
      <c r="D2799" s="4">
        <f>HYPERLINK("https://cao.dolgi.msk.ru/account/1060569244/", 1060569244)</f>
        <v>1060569244</v>
      </c>
      <c r="E2799" s="3">
        <v>23813.91</v>
      </c>
    </row>
    <row r="2800" spans="1:5" x14ac:dyDescent="0.25">
      <c r="A2800" s="3" t="s">
        <v>5</v>
      </c>
      <c r="B2800" s="3" t="s">
        <v>729</v>
      </c>
      <c r="C2800" s="3" t="s">
        <v>144</v>
      </c>
      <c r="D2800" s="4">
        <f>HYPERLINK("https://cao.dolgi.msk.ru/account/1060569359/", 1060569359)</f>
        <v>1060569359</v>
      </c>
      <c r="E2800" s="3">
        <v>13284.93</v>
      </c>
    </row>
    <row r="2801" spans="1:5" x14ac:dyDescent="0.25">
      <c r="A2801" s="3" t="s">
        <v>5</v>
      </c>
      <c r="B2801" s="3" t="s">
        <v>729</v>
      </c>
      <c r="C2801" s="3" t="s">
        <v>95</v>
      </c>
      <c r="D2801" s="4">
        <f>HYPERLINK("https://cao.dolgi.msk.ru/account/1060569404/", 1060569404)</f>
        <v>1060569404</v>
      </c>
      <c r="E2801" s="3">
        <v>1811.01</v>
      </c>
    </row>
    <row r="2802" spans="1:5" x14ac:dyDescent="0.25">
      <c r="A2802" s="3" t="s">
        <v>5</v>
      </c>
      <c r="B2802" s="3" t="s">
        <v>730</v>
      </c>
      <c r="C2802" s="3" t="s">
        <v>131</v>
      </c>
      <c r="D2802" s="4">
        <f>HYPERLINK("https://cao.dolgi.msk.ru/account/1060569631/", 1060569631)</f>
        <v>1060569631</v>
      </c>
      <c r="E2802" s="3">
        <v>18647.77</v>
      </c>
    </row>
    <row r="2803" spans="1:5" x14ac:dyDescent="0.25">
      <c r="A2803" s="3" t="s">
        <v>5</v>
      </c>
      <c r="B2803" s="3" t="s">
        <v>730</v>
      </c>
      <c r="C2803" s="3" t="s">
        <v>141</v>
      </c>
      <c r="D2803" s="4">
        <f>HYPERLINK("https://cao.dolgi.msk.ru/account/1060569818/", 1060569818)</f>
        <v>1060569818</v>
      </c>
      <c r="E2803" s="3">
        <v>17728.349999999999</v>
      </c>
    </row>
    <row r="2804" spans="1:5" x14ac:dyDescent="0.25">
      <c r="A2804" s="3" t="s">
        <v>5</v>
      </c>
      <c r="B2804" s="3" t="s">
        <v>730</v>
      </c>
      <c r="C2804" s="3" t="s">
        <v>21</v>
      </c>
      <c r="D2804" s="4">
        <f>HYPERLINK("https://cao.dolgi.msk.ru/account/1060569981/", 1060569981)</f>
        <v>1060569981</v>
      </c>
      <c r="E2804" s="3">
        <v>8961.5499999999993</v>
      </c>
    </row>
    <row r="2805" spans="1:5" x14ac:dyDescent="0.25">
      <c r="A2805" s="3" t="s">
        <v>5</v>
      </c>
      <c r="B2805" s="3" t="s">
        <v>730</v>
      </c>
      <c r="C2805" s="3" t="s">
        <v>25</v>
      </c>
      <c r="D2805" s="4">
        <f>HYPERLINK("https://cao.dolgi.msk.ru/account/1060570042/", 1060570042)</f>
        <v>1060570042</v>
      </c>
      <c r="E2805" s="3">
        <v>407042.15</v>
      </c>
    </row>
    <row r="2806" spans="1:5" x14ac:dyDescent="0.25">
      <c r="A2806" s="3" t="s">
        <v>5</v>
      </c>
      <c r="B2806" s="3" t="s">
        <v>730</v>
      </c>
      <c r="C2806" s="3" t="s">
        <v>54</v>
      </c>
      <c r="D2806" s="4">
        <f>HYPERLINK("https://cao.dolgi.msk.ru/account/1060570376/", 1060570376)</f>
        <v>1060570376</v>
      </c>
      <c r="E2806" s="3">
        <v>9916.92</v>
      </c>
    </row>
    <row r="2807" spans="1:5" x14ac:dyDescent="0.25">
      <c r="A2807" s="3" t="s">
        <v>5</v>
      </c>
      <c r="B2807" s="3" t="s">
        <v>730</v>
      </c>
      <c r="C2807" s="3" t="s">
        <v>58</v>
      </c>
      <c r="D2807" s="4">
        <f>HYPERLINK("https://cao.dolgi.msk.ru/account/1060570413/", 1060570413)</f>
        <v>1060570413</v>
      </c>
      <c r="E2807" s="3">
        <v>13722.12</v>
      </c>
    </row>
    <row r="2808" spans="1:5" x14ac:dyDescent="0.25">
      <c r="A2808" s="3" t="s">
        <v>5</v>
      </c>
      <c r="B2808" s="3" t="s">
        <v>731</v>
      </c>
      <c r="C2808" s="3" t="s">
        <v>130</v>
      </c>
      <c r="D2808" s="4">
        <f>HYPERLINK("https://cao.dolgi.msk.ru/account/1060570595/", 1060570595)</f>
        <v>1060570595</v>
      </c>
      <c r="E2808" s="3">
        <v>84373.33</v>
      </c>
    </row>
    <row r="2809" spans="1:5" x14ac:dyDescent="0.25">
      <c r="A2809" s="3" t="s">
        <v>5</v>
      </c>
      <c r="B2809" s="3" t="s">
        <v>731</v>
      </c>
      <c r="C2809" s="3" t="s">
        <v>19</v>
      </c>
      <c r="D2809" s="4">
        <f>HYPERLINK("https://cao.dolgi.msk.ru/account/1060570915/", 1060570915)</f>
        <v>1060570915</v>
      </c>
      <c r="E2809" s="3">
        <v>18417.560000000001</v>
      </c>
    </row>
    <row r="2810" spans="1:5" x14ac:dyDescent="0.25">
      <c r="A2810" s="3" t="s">
        <v>5</v>
      </c>
      <c r="B2810" s="3" t="s">
        <v>731</v>
      </c>
      <c r="C2810" s="3" t="s">
        <v>33</v>
      </c>
      <c r="D2810" s="4">
        <f>HYPERLINK("https://cao.dolgi.msk.ru/account/1060571088/", 1060571088)</f>
        <v>1060571088</v>
      </c>
      <c r="E2810" s="3">
        <v>70875.19</v>
      </c>
    </row>
    <row r="2811" spans="1:5" x14ac:dyDescent="0.25">
      <c r="A2811" s="3" t="s">
        <v>5</v>
      </c>
      <c r="B2811" s="3" t="s">
        <v>731</v>
      </c>
      <c r="C2811" s="3" t="s">
        <v>56</v>
      </c>
      <c r="D2811" s="4">
        <f>HYPERLINK("https://cao.dolgi.msk.ru/account/1060881916/", 1060881916)</f>
        <v>1060881916</v>
      </c>
      <c r="E2811" s="3">
        <v>7051.67</v>
      </c>
    </row>
    <row r="2812" spans="1:5" x14ac:dyDescent="0.25">
      <c r="A2812" s="3" t="s">
        <v>5</v>
      </c>
      <c r="B2812" s="3" t="s">
        <v>731</v>
      </c>
      <c r="C2812" s="3" t="s">
        <v>59</v>
      </c>
      <c r="D2812" s="4">
        <f>HYPERLINK("https://cao.dolgi.msk.ru/account/1060571387/", 1060571387)</f>
        <v>1060571387</v>
      </c>
      <c r="E2812" s="3">
        <v>11308.83</v>
      </c>
    </row>
    <row r="2813" spans="1:5" x14ac:dyDescent="0.25">
      <c r="A2813" s="3" t="s">
        <v>5</v>
      </c>
      <c r="B2813" s="3" t="s">
        <v>732</v>
      </c>
      <c r="C2813" s="3" t="s">
        <v>133</v>
      </c>
      <c r="D2813" s="4">
        <f>HYPERLINK("https://cao.dolgi.msk.ru/account/1060571619/", 1060571619)</f>
        <v>1060571619</v>
      </c>
      <c r="E2813" s="3">
        <v>81600.240000000005</v>
      </c>
    </row>
    <row r="2814" spans="1:5" x14ac:dyDescent="0.25">
      <c r="A2814" s="3" t="s">
        <v>5</v>
      </c>
      <c r="B2814" s="3" t="s">
        <v>732</v>
      </c>
      <c r="C2814" s="3" t="s">
        <v>141</v>
      </c>
      <c r="D2814" s="4">
        <f>HYPERLINK("https://cao.dolgi.msk.ru/account/1060571707/", 1060571707)</f>
        <v>1060571707</v>
      </c>
      <c r="E2814" s="3">
        <v>25941.18</v>
      </c>
    </row>
    <row r="2815" spans="1:5" x14ac:dyDescent="0.25">
      <c r="A2815" s="3" t="s">
        <v>5</v>
      </c>
      <c r="B2815" s="3" t="s">
        <v>732</v>
      </c>
      <c r="C2815" s="3" t="s">
        <v>143</v>
      </c>
      <c r="D2815" s="4">
        <f>HYPERLINK("https://cao.dolgi.msk.ru/account/1060571723/", 1060571723)</f>
        <v>1060571723</v>
      </c>
      <c r="E2815" s="3">
        <v>13222.87</v>
      </c>
    </row>
    <row r="2816" spans="1:5" x14ac:dyDescent="0.25">
      <c r="A2816" s="3" t="s">
        <v>5</v>
      </c>
      <c r="B2816" s="3" t="s">
        <v>732</v>
      </c>
      <c r="C2816" s="3" t="s">
        <v>19</v>
      </c>
      <c r="D2816" s="4">
        <f>HYPERLINK("https://cao.dolgi.msk.ru/account/1060571862/", 1060571862)</f>
        <v>1060571862</v>
      </c>
      <c r="E2816" s="3">
        <v>19585.12</v>
      </c>
    </row>
    <row r="2817" spans="1:5" x14ac:dyDescent="0.25">
      <c r="A2817" s="3" t="s">
        <v>5</v>
      </c>
      <c r="B2817" s="3" t="s">
        <v>732</v>
      </c>
      <c r="C2817" s="3" t="s">
        <v>29</v>
      </c>
      <c r="D2817" s="4">
        <f>HYPERLINK("https://cao.dolgi.msk.ru/account/1060571993/", 1060571993)</f>
        <v>1060571993</v>
      </c>
      <c r="E2817" s="3">
        <v>4811.1099999999997</v>
      </c>
    </row>
    <row r="2818" spans="1:5" x14ac:dyDescent="0.25">
      <c r="A2818" s="3" t="s">
        <v>5</v>
      </c>
      <c r="B2818" s="3" t="s">
        <v>732</v>
      </c>
      <c r="C2818" s="3" t="s">
        <v>56</v>
      </c>
      <c r="D2818" s="4">
        <f>HYPERLINK("https://cao.dolgi.msk.ru/account/1060572291/", 1060572291)</f>
        <v>1060572291</v>
      </c>
      <c r="E2818" s="3">
        <v>4479.71</v>
      </c>
    </row>
    <row r="2819" spans="1:5" x14ac:dyDescent="0.25">
      <c r="A2819" s="3" t="s">
        <v>5</v>
      </c>
      <c r="B2819" s="3" t="s">
        <v>732</v>
      </c>
      <c r="C2819" s="3" t="s">
        <v>79</v>
      </c>
      <c r="D2819" s="4">
        <f>HYPERLINK("https://cao.dolgi.msk.ru/account/1060572507/", 1060572507)</f>
        <v>1060572507</v>
      </c>
      <c r="E2819" s="3">
        <v>12284.16</v>
      </c>
    </row>
    <row r="2820" spans="1:5" x14ac:dyDescent="0.25">
      <c r="A2820" s="3" t="s">
        <v>5</v>
      </c>
      <c r="B2820" s="3" t="s">
        <v>732</v>
      </c>
      <c r="C2820" s="3" t="s">
        <v>82</v>
      </c>
      <c r="D2820" s="4">
        <f>HYPERLINK("https://cao.dolgi.msk.ru/account/1060572531/", 1060572531)</f>
        <v>1060572531</v>
      </c>
      <c r="E2820" s="3">
        <v>67516.34</v>
      </c>
    </row>
    <row r="2821" spans="1:5" x14ac:dyDescent="0.25">
      <c r="A2821" s="3" t="s">
        <v>5</v>
      </c>
      <c r="B2821" s="3" t="s">
        <v>732</v>
      </c>
      <c r="C2821" s="3" t="s">
        <v>103</v>
      </c>
      <c r="D2821" s="4">
        <f>HYPERLINK("https://cao.dolgi.msk.ru/account/1060572806/", 1060572806)</f>
        <v>1060572806</v>
      </c>
      <c r="E2821" s="3">
        <v>19551.689999999999</v>
      </c>
    </row>
    <row r="2822" spans="1:5" x14ac:dyDescent="0.25">
      <c r="A2822" s="3" t="s">
        <v>5</v>
      </c>
      <c r="B2822" s="3" t="s">
        <v>733</v>
      </c>
      <c r="C2822" s="3" t="s">
        <v>89</v>
      </c>
      <c r="D2822" s="4">
        <f>HYPERLINK("https://cao.dolgi.msk.ru/account/1060566684/", 1060566684)</f>
        <v>1060566684</v>
      </c>
      <c r="E2822" s="3">
        <v>6551.47</v>
      </c>
    </row>
    <row r="2823" spans="1:5" x14ac:dyDescent="0.25">
      <c r="A2823" s="3" t="s">
        <v>5</v>
      </c>
      <c r="B2823" s="3" t="s">
        <v>733</v>
      </c>
      <c r="C2823" s="3" t="s">
        <v>135</v>
      </c>
      <c r="D2823" s="4">
        <f>HYPERLINK("https://cao.dolgi.msk.ru/account/1060566748/", 1060566748)</f>
        <v>1060566748</v>
      </c>
      <c r="E2823" s="3">
        <v>36751.47</v>
      </c>
    </row>
    <row r="2824" spans="1:5" x14ac:dyDescent="0.25">
      <c r="A2824" s="3" t="s">
        <v>5</v>
      </c>
      <c r="B2824" s="3" t="s">
        <v>733</v>
      </c>
      <c r="C2824" s="3" t="s">
        <v>13</v>
      </c>
      <c r="D2824" s="4">
        <f>HYPERLINK("https://cao.dolgi.msk.ru/account/1060566916/", 1060566916)</f>
        <v>1060566916</v>
      </c>
      <c r="E2824" s="3">
        <v>46627.64</v>
      </c>
    </row>
    <row r="2825" spans="1:5" x14ac:dyDescent="0.25">
      <c r="A2825" s="3" t="s">
        <v>5</v>
      </c>
      <c r="B2825" s="3" t="s">
        <v>733</v>
      </c>
      <c r="C2825" s="3" t="s">
        <v>38</v>
      </c>
      <c r="D2825" s="4">
        <f>HYPERLINK("https://cao.dolgi.msk.ru/account/1060567206/", 1060567206)</f>
        <v>1060567206</v>
      </c>
      <c r="E2825" s="3">
        <v>8700.25</v>
      </c>
    </row>
    <row r="2826" spans="1:5" x14ac:dyDescent="0.25">
      <c r="A2826" s="3" t="s">
        <v>5</v>
      </c>
      <c r="B2826" s="3" t="s">
        <v>733</v>
      </c>
      <c r="C2826" s="3" t="s">
        <v>49</v>
      </c>
      <c r="D2826" s="4">
        <f>HYPERLINK("https://cao.dolgi.msk.ru/account/1060567345/", 1060567345)</f>
        <v>1060567345</v>
      </c>
      <c r="E2826" s="3">
        <v>19654.400000000001</v>
      </c>
    </row>
    <row r="2827" spans="1:5" x14ac:dyDescent="0.25">
      <c r="A2827" s="3" t="s">
        <v>5</v>
      </c>
      <c r="B2827" s="3" t="s">
        <v>734</v>
      </c>
      <c r="C2827" s="3" t="s">
        <v>62</v>
      </c>
      <c r="D2827" s="4">
        <f>HYPERLINK("https://cao.dolgi.msk.ru/account/1060572929/", 1060572929)</f>
        <v>1060572929</v>
      </c>
      <c r="E2827" s="3">
        <v>89179.83</v>
      </c>
    </row>
    <row r="2828" spans="1:5" x14ac:dyDescent="0.25">
      <c r="A2828" s="3" t="s">
        <v>5</v>
      </c>
      <c r="B2828" s="3" t="s">
        <v>734</v>
      </c>
      <c r="C2828" s="3" t="s">
        <v>66</v>
      </c>
      <c r="D2828" s="4">
        <f>HYPERLINK("https://cao.dolgi.msk.ru/account/1060572961/", 1060572961)</f>
        <v>1060572961</v>
      </c>
      <c r="E2828" s="3">
        <v>7117.69</v>
      </c>
    </row>
    <row r="2829" spans="1:5" x14ac:dyDescent="0.25">
      <c r="A2829" s="3" t="s">
        <v>5</v>
      </c>
      <c r="B2829" s="3" t="s">
        <v>734</v>
      </c>
      <c r="C2829" s="3" t="s">
        <v>76</v>
      </c>
      <c r="D2829" s="4">
        <f>HYPERLINK("https://cao.dolgi.msk.ru/account/1060573024/", 1060573024)</f>
        <v>1060573024</v>
      </c>
      <c r="E2829" s="3">
        <v>44554.44</v>
      </c>
    </row>
    <row r="2830" spans="1:5" x14ac:dyDescent="0.25">
      <c r="A2830" s="3" t="s">
        <v>5</v>
      </c>
      <c r="B2830" s="3" t="s">
        <v>734</v>
      </c>
      <c r="C2830" s="3" t="s">
        <v>113</v>
      </c>
      <c r="D2830" s="4">
        <f>HYPERLINK("https://cao.dolgi.msk.ru/account/1060573526/", 1060573526)</f>
        <v>1060573526</v>
      </c>
      <c r="E2830" s="3">
        <v>44890.42</v>
      </c>
    </row>
    <row r="2831" spans="1:5" x14ac:dyDescent="0.25">
      <c r="A2831" s="3" t="s">
        <v>5</v>
      </c>
      <c r="B2831" s="3" t="s">
        <v>734</v>
      </c>
      <c r="C2831" s="3" t="s">
        <v>152</v>
      </c>
      <c r="D2831" s="4">
        <f>HYPERLINK("https://cao.dolgi.msk.ru/account/1060573606/", 1060573606)</f>
        <v>1060573606</v>
      </c>
      <c r="E2831" s="3">
        <v>4450.53</v>
      </c>
    </row>
    <row r="2832" spans="1:5" x14ac:dyDescent="0.25">
      <c r="A2832" s="3" t="s">
        <v>5</v>
      </c>
      <c r="B2832" s="3" t="s">
        <v>734</v>
      </c>
      <c r="C2832" s="3" t="s">
        <v>153</v>
      </c>
      <c r="D2832" s="4">
        <f>HYPERLINK("https://cao.dolgi.msk.ru/account/1060573614/", 1060573614)</f>
        <v>1060573614</v>
      </c>
      <c r="E2832" s="3">
        <v>8005.08</v>
      </c>
    </row>
    <row r="2833" spans="1:5" x14ac:dyDescent="0.25">
      <c r="A2833" s="3" t="s">
        <v>5</v>
      </c>
      <c r="B2833" s="3" t="s">
        <v>734</v>
      </c>
      <c r="C2833" s="3" t="s">
        <v>159</v>
      </c>
      <c r="D2833" s="4">
        <f>HYPERLINK("https://cao.dolgi.msk.ru/account/1060573681/", 1060573681)</f>
        <v>1060573681</v>
      </c>
      <c r="E2833" s="3">
        <v>150551.76999999999</v>
      </c>
    </row>
    <row r="2834" spans="1:5" x14ac:dyDescent="0.25">
      <c r="A2834" s="3" t="s">
        <v>5</v>
      </c>
      <c r="B2834" s="3" t="s">
        <v>735</v>
      </c>
      <c r="C2834" s="3" t="s">
        <v>20</v>
      </c>
      <c r="D2834" s="4">
        <f>HYPERLINK("https://cao.dolgi.msk.ru/account/1060574123/", 1060574123)</f>
        <v>1060574123</v>
      </c>
      <c r="E2834" s="3">
        <v>45169.33</v>
      </c>
    </row>
    <row r="2835" spans="1:5" x14ac:dyDescent="0.25">
      <c r="A2835" s="3" t="s">
        <v>5</v>
      </c>
      <c r="B2835" s="3" t="s">
        <v>735</v>
      </c>
      <c r="C2835" s="3" t="s">
        <v>21</v>
      </c>
      <c r="D2835" s="4">
        <f>HYPERLINK("https://cao.dolgi.msk.ru/account/1060855646/", 1060855646)</f>
        <v>1060855646</v>
      </c>
      <c r="E2835" s="3">
        <v>4962.32</v>
      </c>
    </row>
    <row r="2836" spans="1:5" x14ac:dyDescent="0.25">
      <c r="A2836" s="3" t="s">
        <v>5</v>
      </c>
      <c r="B2836" s="3" t="s">
        <v>735</v>
      </c>
      <c r="C2836" s="3" t="s">
        <v>28</v>
      </c>
      <c r="D2836" s="4">
        <f>HYPERLINK("https://cao.dolgi.msk.ru/account/1060085776/", 1060085776)</f>
        <v>1060085776</v>
      </c>
      <c r="E2836" s="3">
        <v>2993.11</v>
      </c>
    </row>
    <row r="2837" spans="1:5" x14ac:dyDescent="0.25">
      <c r="A2837" s="3" t="s">
        <v>5</v>
      </c>
      <c r="B2837" s="3" t="s">
        <v>735</v>
      </c>
      <c r="C2837" s="3" t="s">
        <v>47</v>
      </c>
      <c r="D2837" s="4">
        <f>HYPERLINK("https://cao.dolgi.msk.ru/account/1060574457/", 1060574457)</f>
        <v>1060574457</v>
      </c>
      <c r="E2837" s="3">
        <v>12533.87</v>
      </c>
    </row>
    <row r="2838" spans="1:5" x14ac:dyDescent="0.25">
      <c r="A2838" s="3" t="s">
        <v>5</v>
      </c>
      <c r="B2838" s="3" t="s">
        <v>735</v>
      </c>
      <c r="C2838" s="3" t="s">
        <v>49</v>
      </c>
      <c r="D2838" s="4">
        <f>HYPERLINK("https://cao.dolgi.msk.ru/account/1060574473/", 1060574473)</f>
        <v>1060574473</v>
      </c>
      <c r="E2838" s="3">
        <v>8545.1299999999992</v>
      </c>
    </row>
    <row r="2839" spans="1:5" x14ac:dyDescent="0.25">
      <c r="A2839" s="3" t="s">
        <v>5</v>
      </c>
      <c r="B2839" s="3" t="s">
        <v>735</v>
      </c>
      <c r="C2839" s="3" t="s">
        <v>78</v>
      </c>
      <c r="D2839" s="4">
        <f>HYPERLINK("https://cao.dolgi.msk.ru/account/1060574756/", 1060574756)</f>
        <v>1060574756</v>
      </c>
      <c r="E2839" s="3">
        <v>10223.799999999999</v>
      </c>
    </row>
    <row r="2840" spans="1:5" x14ac:dyDescent="0.25">
      <c r="A2840" s="3" t="s">
        <v>5</v>
      </c>
      <c r="B2840" s="3" t="s">
        <v>736</v>
      </c>
      <c r="C2840" s="3" t="s">
        <v>82</v>
      </c>
      <c r="D2840" s="4">
        <f>HYPERLINK("https://cao.dolgi.msk.ru/account/1060574828/", 1060574828)</f>
        <v>1060574828</v>
      </c>
      <c r="E2840" s="3">
        <v>8187.72</v>
      </c>
    </row>
    <row r="2841" spans="1:5" x14ac:dyDescent="0.25">
      <c r="A2841" s="3" t="s">
        <v>5</v>
      </c>
      <c r="B2841" s="3" t="s">
        <v>736</v>
      </c>
      <c r="C2841" s="3" t="s">
        <v>92</v>
      </c>
      <c r="D2841" s="4">
        <f>HYPERLINK("https://cao.dolgi.msk.ru/account/1060574932/", 1060574932)</f>
        <v>1060574932</v>
      </c>
      <c r="E2841" s="3">
        <v>10283.94</v>
      </c>
    </row>
    <row r="2842" spans="1:5" x14ac:dyDescent="0.25">
      <c r="A2842" s="3" t="s">
        <v>5</v>
      </c>
      <c r="B2842" s="3" t="s">
        <v>736</v>
      </c>
      <c r="C2842" s="3" t="s">
        <v>101</v>
      </c>
      <c r="D2842" s="4">
        <f>HYPERLINK("https://cao.dolgi.msk.ru/account/1060575046/", 1060575046)</f>
        <v>1060575046</v>
      </c>
      <c r="E2842" s="3">
        <v>24705.64</v>
      </c>
    </row>
    <row r="2843" spans="1:5" x14ac:dyDescent="0.25">
      <c r="A2843" s="3" t="s">
        <v>5</v>
      </c>
      <c r="B2843" s="3" t="s">
        <v>736</v>
      </c>
      <c r="C2843" s="3" t="s">
        <v>161</v>
      </c>
      <c r="D2843" s="4">
        <f>HYPERLINK("https://cao.dolgi.msk.ru/account/1060575417/", 1060575417)</f>
        <v>1060575417</v>
      </c>
      <c r="E2843" s="3">
        <v>14659.06</v>
      </c>
    </row>
    <row r="2844" spans="1:5" x14ac:dyDescent="0.25">
      <c r="A2844" s="3" t="s">
        <v>5</v>
      </c>
      <c r="B2844" s="3" t="s">
        <v>736</v>
      </c>
      <c r="C2844" s="3" t="s">
        <v>176</v>
      </c>
      <c r="D2844" s="4">
        <f>HYPERLINK("https://cao.dolgi.msk.ru/account/1060575599/", 1060575599)</f>
        <v>1060575599</v>
      </c>
      <c r="E2844" s="3">
        <v>52754.85</v>
      </c>
    </row>
    <row r="2845" spans="1:5" x14ac:dyDescent="0.25">
      <c r="A2845" s="3" t="s">
        <v>5</v>
      </c>
      <c r="B2845" s="3" t="s">
        <v>736</v>
      </c>
      <c r="C2845" s="3" t="s">
        <v>179</v>
      </c>
      <c r="D2845" s="4">
        <f>HYPERLINK("https://cao.dolgi.msk.ru/account/1060575636/", 1060575636)</f>
        <v>1060575636</v>
      </c>
      <c r="E2845" s="3">
        <v>14340.41</v>
      </c>
    </row>
    <row r="2846" spans="1:5" x14ac:dyDescent="0.25">
      <c r="A2846" s="3" t="s">
        <v>5</v>
      </c>
      <c r="B2846" s="3" t="s">
        <v>736</v>
      </c>
      <c r="C2846" s="3" t="s">
        <v>185</v>
      </c>
      <c r="D2846" s="4">
        <f>HYPERLINK("https://cao.dolgi.msk.ru/account/1060575708/", 1060575708)</f>
        <v>1060575708</v>
      </c>
      <c r="E2846" s="3">
        <v>10203.34</v>
      </c>
    </row>
    <row r="2847" spans="1:5" x14ac:dyDescent="0.25">
      <c r="A2847" s="3" t="s">
        <v>5</v>
      </c>
      <c r="B2847" s="3" t="s">
        <v>736</v>
      </c>
      <c r="C2847" s="3" t="s">
        <v>737</v>
      </c>
      <c r="D2847" s="4">
        <f>HYPERLINK("https://cao.dolgi.msk.ru/account/1060575759/", 1060575759)</f>
        <v>1060575759</v>
      </c>
      <c r="E2847" s="3">
        <v>41785.07</v>
      </c>
    </row>
    <row r="2848" spans="1:5" x14ac:dyDescent="0.25">
      <c r="A2848" s="3" t="s">
        <v>5</v>
      </c>
      <c r="B2848" s="3" t="s">
        <v>738</v>
      </c>
      <c r="C2848" s="3" t="s">
        <v>9</v>
      </c>
      <c r="D2848" s="4">
        <f>HYPERLINK("https://cao.dolgi.msk.ru/account/1060111938/", 1060111938)</f>
        <v>1060111938</v>
      </c>
      <c r="E2848" s="3">
        <v>3051.63</v>
      </c>
    </row>
    <row r="2849" spans="1:5" x14ac:dyDescent="0.25">
      <c r="A2849" s="3" t="s">
        <v>5</v>
      </c>
      <c r="B2849" s="3" t="s">
        <v>738</v>
      </c>
      <c r="C2849" s="3" t="s">
        <v>105</v>
      </c>
      <c r="D2849" s="4">
        <f>HYPERLINK("https://cao.dolgi.msk.ru/account/1060111997/", 1060111997)</f>
        <v>1060111997</v>
      </c>
      <c r="E2849" s="3">
        <v>7625.48</v>
      </c>
    </row>
    <row r="2850" spans="1:5" x14ac:dyDescent="0.25">
      <c r="A2850" s="3" t="s">
        <v>5</v>
      </c>
      <c r="B2850" s="3" t="s">
        <v>738</v>
      </c>
      <c r="C2850" s="3" t="s">
        <v>26</v>
      </c>
      <c r="D2850" s="4">
        <f>HYPERLINK("https://cao.dolgi.msk.ru/account/1060112076/", 1060112076)</f>
        <v>1060112076</v>
      </c>
      <c r="E2850" s="3">
        <v>5869.43</v>
      </c>
    </row>
    <row r="2851" spans="1:5" x14ac:dyDescent="0.25">
      <c r="A2851" s="3" t="s">
        <v>5</v>
      </c>
      <c r="B2851" s="3" t="s">
        <v>739</v>
      </c>
      <c r="C2851" s="3" t="s">
        <v>30</v>
      </c>
      <c r="D2851" s="4">
        <f>HYPERLINK("https://cao.dolgi.msk.ru/account/1060112121/", 1060112121)</f>
        <v>1060112121</v>
      </c>
      <c r="E2851" s="3">
        <v>480154.6</v>
      </c>
    </row>
    <row r="2852" spans="1:5" x14ac:dyDescent="0.25">
      <c r="A2852" s="3" t="s">
        <v>5</v>
      </c>
      <c r="B2852" s="3" t="s">
        <v>739</v>
      </c>
      <c r="C2852" s="3" t="s">
        <v>138</v>
      </c>
      <c r="D2852" s="4">
        <f>HYPERLINK("https://cao.dolgi.msk.ru/account/1060112295/", 1060112295)</f>
        <v>1060112295</v>
      </c>
      <c r="E2852" s="3">
        <v>18419.400000000001</v>
      </c>
    </row>
    <row r="2853" spans="1:5" x14ac:dyDescent="0.25">
      <c r="A2853" s="3" t="s">
        <v>5</v>
      </c>
      <c r="B2853" s="3" t="s">
        <v>739</v>
      </c>
      <c r="C2853" s="3" t="s">
        <v>12</v>
      </c>
      <c r="D2853" s="4">
        <f>HYPERLINK("https://cao.dolgi.msk.ru/account/1060112391/", 1060112391)</f>
        <v>1060112391</v>
      </c>
      <c r="E2853" s="3">
        <v>10809.85</v>
      </c>
    </row>
    <row r="2854" spans="1:5" x14ac:dyDescent="0.25">
      <c r="A2854" s="3" t="s">
        <v>5</v>
      </c>
      <c r="B2854" s="3" t="s">
        <v>739</v>
      </c>
      <c r="C2854" s="3" t="s">
        <v>15</v>
      </c>
      <c r="D2854" s="4">
        <f>HYPERLINK("https://cao.dolgi.msk.ru/account/1060112439/", 1060112439)</f>
        <v>1060112439</v>
      </c>
      <c r="E2854" s="3">
        <v>15169.06</v>
      </c>
    </row>
    <row r="2855" spans="1:5" x14ac:dyDescent="0.25">
      <c r="A2855" s="3" t="s">
        <v>5</v>
      </c>
      <c r="B2855" s="3" t="s">
        <v>740</v>
      </c>
      <c r="C2855" s="3" t="s">
        <v>51</v>
      </c>
      <c r="D2855" s="4">
        <f>HYPERLINK("https://cao.dolgi.msk.ru/account/1060741307/", 1060741307)</f>
        <v>1060741307</v>
      </c>
      <c r="E2855" s="3">
        <v>21857.53</v>
      </c>
    </row>
    <row r="2856" spans="1:5" x14ac:dyDescent="0.25">
      <c r="A2856" s="3" t="s">
        <v>5</v>
      </c>
      <c r="B2856" s="3" t="s">
        <v>740</v>
      </c>
      <c r="C2856" s="3" t="s">
        <v>138</v>
      </c>
      <c r="D2856" s="4">
        <f>HYPERLINK("https://cao.dolgi.msk.ru/account/1060741358/", 1060741358)</f>
        <v>1060741358</v>
      </c>
      <c r="E2856" s="3">
        <v>210496.3</v>
      </c>
    </row>
    <row r="2857" spans="1:5" x14ac:dyDescent="0.25">
      <c r="A2857" s="3" t="s">
        <v>5</v>
      </c>
      <c r="B2857" s="3" t="s">
        <v>740</v>
      </c>
      <c r="C2857" s="3" t="s">
        <v>24</v>
      </c>
      <c r="D2857" s="4">
        <f>HYPERLINK("https://cao.dolgi.msk.ru/account/1060092538/", 1060092538)</f>
        <v>1060092538</v>
      </c>
      <c r="E2857" s="3">
        <v>28137.27</v>
      </c>
    </row>
    <row r="2858" spans="1:5" x14ac:dyDescent="0.25">
      <c r="A2858" s="3" t="s">
        <v>5</v>
      </c>
      <c r="B2858" s="3" t="s">
        <v>741</v>
      </c>
      <c r="C2858" s="3" t="s">
        <v>8</v>
      </c>
      <c r="D2858" s="4">
        <f>HYPERLINK("https://cao.dolgi.msk.ru/account/1060759865/", 1060759865)</f>
        <v>1060759865</v>
      </c>
      <c r="E2858" s="3">
        <v>195595.33</v>
      </c>
    </row>
    <row r="2859" spans="1:5" x14ac:dyDescent="0.25">
      <c r="A2859" s="3" t="s">
        <v>5</v>
      </c>
      <c r="B2859" s="3" t="s">
        <v>741</v>
      </c>
      <c r="C2859" s="3" t="s">
        <v>8</v>
      </c>
      <c r="D2859" s="4">
        <f>HYPERLINK("https://cao.dolgi.msk.ru/account/1060763549/", 1060763549)</f>
        <v>1060763549</v>
      </c>
      <c r="E2859" s="3">
        <v>116317.45</v>
      </c>
    </row>
    <row r="2860" spans="1:5" x14ac:dyDescent="0.25">
      <c r="A2860" s="3" t="s">
        <v>5</v>
      </c>
      <c r="B2860" s="3" t="s">
        <v>741</v>
      </c>
      <c r="C2860" s="3" t="s">
        <v>30</v>
      </c>
      <c r="D2860" s="4">
        <f>HYPERLINK("https://cao.dolgi.msk.ru/account/1060741884/", 1060741884)</f>
        <v>1060741884</v>
      </c>
      <c r="E2860" s="3">
        <v>80622.86</v>
      </c>
    </row>
    <row r="2861" spans="1:5" x14ac:dyDescent="0.25">
      <c r="A2861" s="3" t="s">
        <v>5</v>
      </c>
      <c r="B2861" s="3" t="s">
        <v>741</v>
      </c>
      <c r="C2861" s="3" t="s">
        <v>30</v>
      </c>
      <c r="D2861" s="4">
        <f>HYPERLINK("https://cao.dolgi.msk.ru/account/1060741892/", 1060741892)</f>
        <v>1060741892</v>
      </c>
      <c r="E2861" s="3">
        <v>70203.789999999994</v>
      </c>
    </row>
    <row r="2862" spans="1:5" x14ac:dyDescent="0.25">
      <c r="A2862" s="3" t="s">
        <v>5</v>
      </c>
      <c r="B2862" s="3" t="s">
        <v>741</v>
      </c>
      <c r="C2862" s="3" t="s">
        <v>130</v>
      </c>
      <c r="D2862" s="4">
        <f>HYPERLINK("https://cao.dolgi.msk.ru/account/1060741294/", 1060741294)</f>
        <v>1060741294</v>
      </c>
      <c r="E2862" s="3">
        <v>63250.63</v>
      </c>
    </row>
    <row r="2863" spans="1:5" x14ac:dyDescent="0.25">
      <c r="A2863" s="3" t="s">
        <v>5</v>
      </c>
      <c r="B2863" s="3" t="s">
        <v>741</v>
      </c>
      <c r="C2863" s="3" t="s">
        <v>105</v>
      </c>
      <c r="D2863" s="4">
        <f>HYPERLINK("https://cao.dolgi.msk.ru/account/1060741817/", 1060741817)</f>
        <v>1060741817</v>
      </c>
      <c r="E2863" s="3">
        <v>4904.43</v>
      </c>
    </row>
    <row r="2864" spans="1:5" x14ac:dyDescent="0.25">
      <c r="A2864" s="3" t="s">
        <v>5</v>
      </c>
      <c r="B2864" s="3" t="s">
        <v>741</v>
      </c>
      <c r="C2864" s="3" t="s">
        <v>135</v>
      </c>
      <c r="D2864" s="4">
        <f>HYPERLINK("https://cao.dolgi.msk.ru/account/1060741665/", 1060741665)</f>
        <v>1060741665</v>
      </c>
      <c r="E2864" s="3">
        <v>2509.6999999999998</v>
      </c>
    </row>
    <row r="2865" spans="1:5" x14ac:dyDescent="0.25">
      <c r="A2865" s="3" t="s">
        <v>5</v>
      </c>
      <c r="B2865" s="3" t="s">
        <v>741</v>
      </c>
      <c r="C2865" s="3" t="s">
        <v>138</v>
      </c>
      <c r="D2865" s="4">
        <f>HYPERLINK("https://cao.dolgi.msk.ru/account/1060741526/", 1060741526)</f>
        <v>1060741526</v>
      </c>
      <c r="E2865" s="3">
        <v>151264.87</v>
      </c>
    </row>
    <row r="2866" spans="1:5" x14ac:dyDescent="0.25">
      <c r="A2866" s="3" t="s">
        <v>5</v>
      </c>
      <c r="B2866" s="3" t="s">
        <v>741</v>
      </c>
      <c r="C2866" s="3" t="s">
        <v>12</v>
      </c>
      <c r="D2866" s="4">
        <f>HYPERLINK("https://cao.dolgi.msk.ru/account/1060877677/", 1060877677)</f>
        <v>1060877677</v>
      </c>
      <c r="E2866" s="3">
        <v>8496.4599999999991</v>
      </c>
    </row>
    <row r="2867" spans="1:5" x14ac:dyDescent="0.25">
      <c r="A2867" s="3" t="s">
        <v>5</v>
      </c>
      <c r="B2867" s="3" t="s">
        <v>742</v>
      </c>
      <c r="C2867" s="3" t="s">
        <v>30</v>
      </c>
      <c r="D2867" s="4">
        <f>HYPERLINK("https://cao.dolgi.msk.ru/account/1060858417/", 1060858417)</f>
        <v>1060858417</v>
      </c>
      <c r="E2867" s="3">
        <v>31937.38</v>
      </c>
    </row>
    <row r="2868" spans="1:5" x14ac:dyDescent="0.25">
      <c r="A2868" s="3" t="s">
        <v>5</v>
      </c>
      <c r="B2868" s="3" t="s">
        <v>742</v>
      </c>
      <c r="C2868" s="3" t="s">
        <v>105</v>
      </c>
      <c r="D2868" s="4">
        <f>HYPERLINK("https://cao.dolgi.msk.ru/account/1060859428/", 1060859428)</f>
        <v>1060859428</v>
      </c>
      <c r="E2868" s="3">
        <v>90287.73</v>
      </c>
    </row>
    <row r="2869" spans="1:5" x14ac:dyDescent="0.25">
      <c r="A2869" s="3" t="s">
        <v>5</v>
      </c>
      <c r="B2869" s="3" t="s">
        <v>742</v>
      </c>
      <c r="C2869" s="3" t="s">
        <v>132</v>
      </c>
      <c r="D2869" s="4">
        <f>HYPERLINK("https://cao.dolgi.msk.ru/account/1060863611/", 1060863611)</f>
        <v>1060863611</v>
      </c>
      <c r="E2869" s="3">
        <v>14824</v>
      </c>
    </row>
    <row r="2870" spans="1:5" x14ac:dyDescent="0.25">
      <c r="A2870" s="3" t="s">
        <v>5</v>
      </c>
      <c r="B2870" s="3" t="s">
        <v>742</v>
      </c>
      <c r="C2870" s="3" t="s">
        <v>136</v>
      </c>
      <c r="D2870" s="4">
        <f>HYPERLINK("https://cao.dolgi.msk.ru/account/1060860939/", 1060860939)</f>
        <v>1060860939</v>
      </c>
      <c r="E2870" s="3">
        <v>11296.12</v>
      </c>
    </row>
    <row r="2871" spans="1:5" x14ac:dyDescent="0.25">
      <c r="A2871" s="3" t="s">
        <v>5</v>
      </c>
      <c r="B2871" s="3" t="s">
        <v>742</v>
      </c>
      <c r="C2871" s="3" t="s">
        <v>138</v>
      </c>
      <c r="D2871" s="4">
        <f>HYPERLINK("https://cao.dolgi.msk.ru/account/1060897395/", 1060897395)</f>
        <v>1060897395</v>
      </c>
      <c r="E2871" s="3">
        <v>21701.73</v>
      </c>
    </row>
    <row r="2872" spans="1:5" x14ac:dyDescent="0.25">
      <c r="A2872" s="3" t="s">
        <v>5</v>
      </c>
      <c r="B2872" s="3" t="s">
        <v>742</v>
      </c>
      <c r="C2872" s="3" t="s">
        <v>10</v>
      </c>
      <c r="D2872" s="4">
        <f>HYPERLINK("https://cao.dolgi.msk.ru/account/1060859663/", 1060859663)</f>
        <v>1060859663</v>
      </c>
      <c r="E2872" s="3">
        <v>34885.22</v>
      </c>
    </row>
    <row r="2873" spans="1:5" x14ac:dyDescent="0.25">
      <c r="A2873" s="3" t="s">
        <v>5</v>
      </c>
      <c r="B2873" s="3" t="s">
        <v>742</v>
      </c>
      <c r="C2873" s="3" t="s">
        <v>11</v>
      </c>
      <c r="D2873" s="4">
        <f>HYPERLINK("https://cao.dolgi.msk.ru/account/1060881721/", 1060881721)</f>
        <v>1060881721</v>
      </c>
      <c r="E2873" s="3">
        <v>40066.949999999997</v>
      </c>
    </row>
    <row r="2874" spans="1:5" x14ac:dyDescent="0.25">
      <c r="A2874" s="3" t="s">
        <v>5</v>
      </c>
      <c r="B2874" s="3" t="s">
        <v>742</v>
      </c>
      <c r="C2874" s="3" t="s">
        <v>13</v>
      </c>
      <c r="D2874" s="4">
        <f>HYPERLINK("https://cao.dolgi.msk.ru/account/1060868826/", 1060868826)</f>
        <v>1060868826</v>
      </c>
      <c r="E2874" s="3">
        <v>17992.080000000002</v>
      </c>
    </row>
    <row r="2875" spans="1:5" x14ac:dyDescent="0.25">
      <c r="A2875" s="3" t="s">
        <v>5</v>
      </c>
      <c r="B2875" s="3" t="s">
        <v>742</v>
      </c>
      <c r="C2875" s="3" t="s">
        <v>15</v>
      </c>
      <c r="D2875" s="4">
        <f>HYPERLINK("https://cao.dolgi.msk.ru/account/1060867348/", 1060867348)</f>
        <v>1060867348</v>
      </c>
      <c r="E2875" s="3">
        <v>5749.16</v>
      </c>
    </row>
    <row r="2876" spans="1:5" x14ac:dyDescent="0.25">
      <c r="A2876" s="3" t="s">
        <v>5</v>
      </c>
      <c r="B2876" s="3" t="s">
        <v>742</v>
      </c>
      <c r="C2876" s="3" t="s">
        <v>20</v>
      </c>
      <c r="D2876" s="4">
        <f>HYPERLINK("https://cao.dolgi.msk.ru/account/1060878696/", 1060878696)</f>
        <v>1060878696</v>
      </c>
      <c r="E2876" s="3">
        <v>9298.7999999999993</v>
      </c>
    </row>
    <row r="2877" spans="1:5" x14ac:dyDescent="0.25">
      <c r="A2877" s="3" t="s">
        <v>5</v>
      </c>
      <c r="B2877" s="3" t="s">
        <v>742</v>
      </c>
      <c r="C2877" s="3" t="s">
        <v>35</v>
      </c>
      <c r="D2877" s="4">
        <f>HYPERLINK("https://cao.dolgi.msk.ru/account/1060877597/", 1060877597)</f>
        <v>1060877597</v>
      </c>
      <c r="E2877" s="3">
        <v>6628.54</v>
      </c>
    </row>
    <row r="2878" spans="1:5" x14ac:dyDescent="0.25">
      <c r="A2878" s="3" t="s">
        <v>5</v>
      </c>
      <c r="B2878" s="3" t="s">
        <v>742</v>
      </c>
      <c r="C2878" s="3" t="s">
        <v>37</v>
      </c>
      <c r="D2878" s="4">
        <f>HYPERLINK("https://cao.dolgi.msk.ru/account/1060866708/", 1060866708)</f>
        <v>1060866708</v>
      </c>
      <c r="E2878" s="3">
        <v>27522.87</v>
      </c>
    </row>
    <row r="2879" spans="1:5" x14ac:dyDescent="0.25">
      <c r="A2879" s="3" t="s">
        <v>5</v>
      </c>
      <c r="B2879" s="3" t="s">
        <v>742</v>
      </c>
      <c r="C2879" s="3" t="s">
        <v>39</v>
      </c>
      <c r="D2879" s="4">
        <f>HYPERLINK("https://cao.dolgi.msk.ru/account/1060877562/", 1060877562)</f>
        <v>1060877562</v>
      </c>
      <c r="E2879" s="3">
        <v>35550.31</v>
      </c>
    </row>
    <row r="2880" spans="1:5" x14ac:dyDescent="0.25">
      <c r="A2880" s="3" t="s">
        <v>5</v>
      </c>
      <c r="B2880" s="3" t="s">
        <v>742</v>
      </c>
      <c r="C2880" s="3" t="s">
        <v>54</v>
      </c>
      <c r="D2880" s="4">
        <f>HYPERLINK("https://cao.dolgi.msk.ru/account/1060894119/", 1060894119)</f>
        <v>1060894119</v>
      </c>
      <c r="E2880" s="3">
        <v>33117.96</v>
      </c>
    </row>
    <row r="2881" spans="1:5" x14ac:dyDescent="0.25">
      <c r="A2881" s="3" t="s">
        <v>5</v>
      </c>
      <c r="B2881" s="3" t="s">
        <v>742</v>
      </c>
      <c r="C2881" s="3" t="s">
        <v>57</v>
      </c>
      <c r="D2881" s="4">
        <f>HYPERLINK("https://cao.dolgi.msk.ru/account/1060868164/", 1060868164)</f>
        <v>1060868164</v>
      </c>
      <c r="E2881" s="3">
        <v>47428.84</v>
      </c>
    </row>
    <row r="2882" spans="1:5" x14ac:dyDescent="0.25">
      <c r="A2882" s="3" t="s">
        <v>5</v>
      </c>
      <c r="B2882" s="3" t="s">
        <v>742</v>
      </c>
      <c r="C2882" s="3" t="s">
        <v>61</v>
      </c>
      <c r="D2882" s="4">
        <f>HYPERLINK("https://cao.dolgi.msk.ru/account/1060869132/", 1060869132)</f>
        <v>1060869132</v>
      </c>
      <c r="E2882" s="3">
        <v>6501.5</v>
      </c>
    </row>
    <row r="2883" spans="1:5" x14ac:dyDescent="0.25">
      <c r="A2883" s="3" t="s">
        <v>5</v>
      </c>
      <c r="B2883" s="3" t="s">
        <v>742</v>
      </c>
      <c r="C2883" s="3" t="s">
        <v>63</v>
      </c>
      <c r="D2883" s="4">
        <f>HYPERLINK("https://cao.dolgi.msk.ru/account/1060858038/", 1060858038)</f>
        <v>1060858038</v>
      </c>
      <c r="E2883" s="3">
        <v>18127.66</v>
      </c>
    </row>
    <row r="2884" spans="1:5" x14ac:dyDescent="0.25">
      <c r="A2884" s="3" t="s">
        <v>5</v>
      </c>
      <c r="B2884" s="3" t="s">
        <v>742</v>
      </c>
      <c r="C2884" s="3" t="s">
        <v>65</v>
      </c>
      <c r="D2884" s="4">
        <f>HYPERLINK("https://cao.dolgi.msk.ru/account/1060863267/", 1060863267)</f>
        <v>1060863267</v>
      </c>
      <c r="E2884" s="3">
        <v>8019.55</v>
      </c>
    </row>
    <row r="2885" spans="1:5" x14ac:dyDescent="0.25">
      <c r="A2885" s="3" t="s">
        <v>5</v>
      </c>
      <c r="B2885" s="3" t="s">
        <v>742</v>
      </c>
      <c r="C2885" s="3" t="s">
        <v>73</v>
      </c>
      <c r="D2885" s="4">
        <f>HYPERLINK("https://cao.dolgi.msk.ru/account/1060863363/", 1060863363)</f>
        <v>1060863363</v>
      </c>
      <c r="E2885" s="3">
        <v>12305.68</v>
      </c>
    </row>
    <row r="2886" spans="1:5" x14ac:dyDescent="0.25">
      <c r="A2886" s="3" t="s">
        <v>5</v>
      </c>
      <c r="B2886" s="3" t="s">
        <v>742</v>
      </c>
      <c r="C2886" s="3" t="s">
        <v>91</v>
      </c>
      <c r="D2886" s="4">
        <f>HYPERLINK("https://cao.dolgi.msk.ru/account/1060871435/", 1060871435)</f>
        <v>1060871435</v>
      </c>
      <c r="E2886" s="3">
        <v>22001.02</v>
      </c>
    </row>
    <row r="2887" spans="1:5" x14ac:dyDescent="0.25">
      <c r="A2887" s="3" t="s">
        <v>5</v>
      </c>
      <c r="B2887" s="3" t="s">
        <v>742</v>
      </c>
      <c r="C2887" s="3" t="s">
        <v>148</v>
      </c>
      <c r="D2887" s="4">
        <f>HYPERLINK("https://cao.dolgi.msk.ru/account/1060863013/", 1060863013)</f>
        <v>1060863013</v>
      </c>
      <c r="E2887" s="3">
        <v>6259.82</v>
      </c>
    </row>
    <row r="2888" spans="1:5" x14ac:dyDescent="0.25">
      <c r="A2888" s="3" t="s">
        <v>5</v>
      </c>
      <c r="B2888" s="3" t="s">
        <v>742</v>
      </c>
      <c r="C2888" s="3" t="s">
        <v>182</v>
      </c>
      <c r="D2888" s="4">
        <f>HYPERLINK("https://cao.dolgi.msk.ru/account/1060878565/", 1060878565)</f>
        <v>1060878565</v>
      </c>
      <c r="E2888" s="3">
        <v>6464.5</v>
      </c>
    </row>
    <row r="2889" spans="1:5" x14ac:dyDescent="0.25">
      <c r="A2889" s="3" t="s">
        <v>5</v>
      </c>
      <c r="B2889" s="3" t="s">
        <v>742</v>
      </c>
      <c r="C2889" s="3" t="s">
        <v>183</v>
      </c>
      <c r="D2889" s="4">
        <f>HYPERLINK("https://cao.dolgi.msk.ru/account/1060878573/", 1060878573)</f>
        <v>1060878573</v>
      </c>
      <c r="E2889" s="3">
        <v>9118.4699999999993</v>
      </c>
    </row>
    <row r="2890" spans="1:5" x14ac:dyDescent="0.25">
      <c r="A2890" s="3" t="s">
        <v>5</v>
      </c>
      <c r="B2890" s="3" t="s">
        <v>742</v>
      </c>
      <c r="C2890" s="3" t="s">
        <v>194</v>
      </c>
      <c r="D2890" s="4">
        <f>HYPERLINK("https://cao.dolgi.msk.ru/account/1060881801/", 1060881801)</f>
        <v>1060881801</v>
      </c>
      <c r="E2890" s="3">
        <v>87643.9</v>
      </c>
    </row>
    <row r="2891" spans="1:5" x14ac:dyDescent="0.25">
      <c r="A2891" s="3" t="s">
        <v>5</v>
      </c>
      <c r="B2891" s="3" t="s">
        <v>742</v>
      </c>
      <c r="C2891" s="3" t="s">
        <v>217</v>
      </c>
      <c r="D2891" s="4">
        <f>HYPERLINK("https://cao.dolgi.msk.ru/account/1060881035/", 1060881035)</f>
        <v>1060881035</v>
      </c>
      <c r="E2891" s="3">
        <v>36453.61</v>
      </c>
    </row>
    <row r="2892" spans="1:5" x14ac:dyDescent="0.25">
      <c r="A2892" s="3" t="s">
        <v>5</v>
      </c>
      <c r="B2892" s="3" t="s">
        <v>742</v>
      </c>
      <c r="C2892" s="3" t="s">
        <v>218</v>
      </c>
      <c r="D2892" s="4">
        <f>HYPERLINK("https://cao.dolgi.msk.ru/account/1060881027/", 1060881027)</f>
        <v>1060881027</v>
      </c>
      <c r="E2892" s="3">
        <v>19151.689999999999</v>
      </c>
    </row>
    <row r="2893" spans="1:5" x14ac:dyDescent="0.25">
      <c r="A2893" s="3" t="s">
        <v>5</v>
      </c>
      <c r="B2893" s="3" t="s">
        <v>742</v>
      </c>
      <c r="C2893" s="3" t="s">
        <v>219</v>
      </c>
      <c r="D2893" s="4">
        <f>HYPERLINK("https://cao.dolgi.msk.ru/account/1060861974/", 1060861974)</f>
        <v>1060861974</v>
      </c>
      <c r="E2893" s="3">
        <v>6664.93</v>
      </c>
    </row>
    <row r="2894" spans="1:5" x14ac:dyDescent="0.25">
      <c r="A2894" s="3" t="s">
        <v>5</v>
      </c>
      <c r="B2894" s="3" t="s">
        <v>742</v>
      </c>
      <c r="C2894" s="3" t="s">
        <v>225</v>
      </c>
      <c r="D2894" s="4">
        <f>HYPERLINK("https://cao.dolgi.msk.ru/account/1060868199/", 1060868199)</f>
        <v>1060868199</v>
      </c>
      <c r="E2894" s="3">
        <v>21343.75</v>
      </c>
    </row>
    <row r="2895" spans="1:5" x14ac:dyDescent="0.25">
      <c r="A2895" s="3" t="s">
        <v>5</v>
      </c>
      <c r="B2895" s="3" t="s">
        <v>742</v>
      </c>
      <c r="C2895" s="3" t="s">
        <v>230</v>
      </c>
      <c r="D2895" s="4">
        <f>HYPERLINK("https://cao.dolgi.msk.ru/account/1060867516/", 1060867516)</f>
        <v>1060867516</v>
      </c>
      <c r="E2895" s="3">
        <v>11895.1</v>
      </c>
    </row>
    <row r="2896" spans="1:5" x14ac:dyDescent="0.25">
      <c r="A2896" s="3" t="s">
        <v>5</v>
      </c>
      <c r="B2896" s="3" t="s">
        <v>742</v>
      </c>
      <c r="C2896" s="3" t="s">
        <v>235</v>
      </c>
      <c r="D2896" s="4">
        <f>HYPERLINK("https://cao.dolgi.msk.ru/account/1060865334/", 1060865334)</f>
        <v>1060865334</v>
      </c>
      <c r="E2896" s="3">
        <v>29722.03</v>
      </c>
    </row>
    <row r="2897" spans="1:5" x14ac:dyDescent="0.25">
      <c r="A2897" s="3" t="s">
        <v>5</v>
      </c>
      <c r="B2897" s="3" t="s">
        <v>742</v>
      </c>
      <c r="C2897" s="3" t="s">
        <v>236</v>
      </c>
      <c r="D2897" s="4">
        <f>HYPERLINK("https://cao.dolgi.msk.ru/account/1060863339/", 1060863339)</f>
        <v>1060863339</v>
      </c>
      <c r="E2897" s="3">
        <v>23708.83</v>
      </c>
    </row>
    <row r="2898" spans="1:5" x14ac:dyDescent="0.25">
      <c r="A2898" s="3" t="s">
        <v>5</v>
      </c>
      <c r="B2898" s="3" t="s">
        <v>743</v>
      </c>
      <c r="C2898" s="3" t="s">
        <v>51</v>
      </c>
      <c r="D2898" s="4">
        <f>HYPERLINK("https://cao.dolgi.msk.ru/account/1060213459/", 1060213459)</f>
        <v>1060213459</v>
      </c>
      <c r="E2898" s="3">
        <v>24618.79</v>
      </c>
    </row>
    <row r="2899" spans="1:5" x14ac:dyDescent="0.25">
      <c r="A2899" s="3" t="s">
        <v>5</v>
      </c>
      <c r="B2899" s="3" t="s">
        <v>743</v>
      </c>
      <c r="C2899" s="3" t="s">
        <v>135</v>
      </c>
      <c r="D2899" s="4">
        <f>HYPERLINK("https://cao.dolgi.msk.ru/account/1060213571/", 1060213571)</f>
        <v>1060213571</v>
      </c>
      <c r="E2899" s="3">
        <v>17860.46</v>
      </c>
    </row>
    <row r="2900" spans="1:5" x14ac:dyDescent="0.25">
      <c r="A2900" s="3" t="s">
        <v>5</v>
      </c>
      <c r="B2900" s="3" t="s">
        <v>743</v>
      </c>
      <c r="C2900" s="3" t="s">
        <v>140</v>
      </c>
      <c r="D2900" s="4">
        <f>HYPERLINK("https://cao.dolgi.msk.ru/account/1060213643/", 1060213643)</f>
        <v>1060213643</v>
      </c>
      <c r="E2900" s="3">
        <v>68049.73</v>
      </c>
    </row>
    <row r="2901" spans="1:5" x14ac:dyDescent="0.25">
      <c r="A2901" s="3" t="s">
        <v>5</v>
      </c>
      <c r="B2901" s="3" t="s">
        <v>743</v>
      </c>
      <c r="C2901" s="3" t="s">
        <v>13</v>
      </c>
      <c r="D2901" s="4">
        <f>HYPERLINK("https://cao.dolgi.msk.ru/account/1060213731/", 1060213731)</f>
        <v>1060213731</v>
      </c>
      <c r="E2901" s="3">
        <v>36739.620000000003</v>
      </c>
    </row>
    <row r="2902" spans="1:5" x14ac:dyDescent="0.25">
      <c r="A2902" s="3" t="s">
        <v>5</v>
      </c>
      <c r="B2902" s="3" t="s">
        <v>743</v>
      </c>
      <c r="C2902" s="3" t="s">
        <v>34</v>
      </c>
      <c r="D2902" s="4">
        <f>HYPERLINK("https://cao.dolgi.msk.ru/account/1060213993/", 1060213993)</f>
        <v>1060213993</v>
      </c>
      <c r="E2902" s="3">
        <v>7766.23</v>
      </c>
    </row>
    <row r="2903" spans="1:5" x14ac:dyDescent="0.25">
      <c r="A2903" s="3" t="s">
        <v>5</v>
      </c>
      <c r="B2903" s="3" t="s">
        <v>743</v>
      </c>
      <c r="C2903" s="3" t="s">
        <v>41</v>
      </c>
      <c r="D2903" s="4">
        <f>HYPERLINK("https://cao.dolgi.msk.ru/account/1060214072/", 1060214072)</f>
        <v>1060214072</v>
      </c>
      <c r="E2903" s="3">
        <v>11983.16</v>
      </c>
    </row>
    <row r="2904" spans="1:5" x14ac:dyDescent="0.25">
      <c r="A2904" s="3" t="s">
        <v>5</v>
      </c>
      <c r="B2904" s="3" t="s">
        <v>743</v>
      </c>
      <c r="C2904" s="3" t="s">
        <v>66</v>
      </c>
      <c r="D2904" s="4">
        <f>HYPERLINK("https://cao.dolgi.msk.ru/account/1060214363/", 1060214363)</f>
        <v>1060214363</v>
      </c>
      <c r="E2904" s="3">
        <v>5566.86</v>
      </c>
    </row>
    <row r="2905" spans="1:5" x14ac:dyDescent="0.25">
      <c r="A2905" s="3" t="s">
        <v>5</v>
      </c>
      <c r="B2905" s="3" t="s">
        <v>743</v>
      </c>
      <c r="C2905" s="3" t="s">
        <v>87</v>
      </c>
      <c r="D2905" s="4">
        <f>HYPERLINK("https://cao.dolgi.msk.ru/account/1060214566/", 1060214566)</f>
        <v>1060214566</v>
      </c>
      <c r="E2905" s="3">
        <v>29920.6</v>
      </c>
    </row>
    <row r="2906" spans="1:5" x14ac:dyDescent="0.25">
      <c r="A2906" s="3" t="s">
        <v>5</v>
      </c>
      <c r="B2906" s="3" t="s">
        <v>743</v>
      </c>
      <c r="C2906" s="3" t="s">
        <v>87</v>
      </c>
      <c r="D2906" s="4">
        <f>HYPERLINK("https://cao.dolgi.msk.ru/account/1060214574/", 1060214574)</f>
        <v>1060214574</v>
      </c>
      <c r="E2906" s="3">
        <v>333776.67</v>
      </c>
    </row>
    <row r="2907" spans="1:5" x14ac:dyDescent="0.25">
      <c r="A2907" s="3" t="s">
        <v>5</v>
      </c>
      <c r="B2907" s="3" t="s">
        <v>743</v>
      </c>
      <c r="C2907" s="3" t="s">
        <v>94</v>
      </c>
      <c r="D2907" s="4">
        <f>HYPERLINK("https://cao.dolgi.msk.ru/account/1060214697/", 1060214697)</f>
        <v>1060214697</v>
      </c>
      <c r="E2907" s="3">
        <v>5888.41</v>
      </c>
    </row>
    <row r="2908" spans="1:5" x14ac:dyDescent="0.25">
      <c r="A2908" s="3" t="s">
        <v>5</v>
      </c>
      <c r="B2908" s="3" t="s">
        <v>743</v>
      </c>
      <c r="C2908" s="3" t="s">
        <v>153</v>
      </c>
      <c r="D2908" s="4">
        <f>HYPERLINK("https://cao.dolgi.msk.ru/account/1060215067/", 1060215067)</f>
        <v>1060215067</v>
      </c>
      <c r="E2908" s="3">
        <v>15016.05</v>
      </c>
    </row>
    <row r="2909" spans="1:5" x14ac:dyDescent="0.25">
      <c r="A2909" s="3" t="s">
        <v>5</v>
      </c>
      <c r="B2909" s="3" t="s">
        <v>743</v>
      </c>
      <c r="C2909" s="3" t="s">
        <v>157</v>
      </c>
      <c r="D2909" s="4">
        <f>HYPERLINK("https://cao.dolgi.msk.ru/account/1060215104/", 1060215104)</f>
        <v>1060215104</v>
      </c>
      <c r="E2909" s="3">
        <v>8977.81</v>
      </c>
    </row>
    <row r="2910" spans="1:5" x14ac:dyDescent="0.25">
      <c r="A2910" s="3" t="s">
        <v>5</v>
      </c>
      <c r="B2910" s="3" t="s">
        <v>743</v>
      </c>
      <c r="C2910" s="3" t="s">
        <v>163</v>
      </c>
      <c r="D2910" s="4">
        <f>HYPERLINK("https://cao.dolgi.msk.ru/account/1060215171/", 1060215171)</f>
        <v>1060215171</v>
      </c>
      <c r="E2910" s="3">
        <v>20616.22</v>
      </c>
    </row>
    <row r="2911" spans="1:5" x14ac:dyDescent="0.25">
      <c r="A2911" s="3" t="s">
        <v>5</v>
      </c>
      <c r="B2911" s="3" t="s">
        <v>743</v>
      </c>
      <c r="C2911" s="3" t="s">
        <v>167</v>
      </c>
      <c r="D2911" s="4">
        <f>HYPERLINK("https://cao.dolgi.msk.ru/account/1060215235/", 1060215235)</f>
        <v>1060215235</v>
      </c>
      <c r="E2911" s="3">
        <v>6092.42</v>
      </c>
    </row>
    <row r="2912" spans="1:5" x14ac:dyDescent="0.25">
      <c r="A2912" s="3" t="s">
        <v>5</v>
      </c>
      <c r="B2912" s="3" t="s">
        <v>744</v>
      </c>
      <c r="C2912" s="3" t="s">
        <v>51</v>
      </c>
      <c r="D2912" s="4">
        <f>HYPERLINK("https://cao.dolgi.msk.ru/account/1060625824/", 1060625824)</f>
        <v>1060625824</v>
      </c>
      <c r="E2912" s="3">
        <v>90230.98</v>
      </c>
    </row>
    <row r="2913" spans="1:5" x14ac:dyDescent="0.25">
      <c r="A2913" s="3" t="s">
        <v>5</v>
      </c>
      <c r="B2913" s="3" t="s">
        <v>744</v>
      </c>
      <c r="C2913" s="3" t="s">
        <v>8</v>
      </c>
      <c r="D2913" s="4">
        <f>HYPERLINK("https://cao.dolgi.msk.ru/account/1060625832/", 1060625832)</f>
        <v>1060625832</v>
      </c>
      <c r="E2913" s="3">
        <v>19620.61</v>
      </c>
    </row>
    <row r="2914" spans="1:5" x14ac:dyDescent="0.25">
      <c r="A2914" s="3" t="s">
        <v>5</v>
      </c>
      <c r="B2914" s="3" t="s">
        <v>744</v>
      </c>
      <c r="C2914" s="3" t="s">
        <v>89</v>
      </c>
      <c r="D2914" s="4">
        <f>HYPERLINK("https://cao.dolgi.msk.ru/account/1060625891/", 1060625891)</f>
        <v>1060625891</v>
      </c>
      <c r="E2914" s="3">
        <v>6470.25</v>
      </c>
    </row>
    <row r="2915" spans="1:5" x14ac:dyDescent="0.25">
      <c r="A2915" s="3" t="s">
        <v>5</v>
      </c>
      <c r="B2915" s="3" t="s">
        <v>744</v>
      </c>
      <c r="C2915" s="3" t="s">
        <v>22</v>
      </c>
      <c r="D2915" s="4">
        <f>HYPERLINK("https://cao.dolgi.msk.ru/account/1060626309/", 1060626309)</f>
        <v>1060626309</v>
      </c>
      <c r="E2915" s="3">
        <v>278342.5</v>
      </c>
    </row>
    <row r="2916" spans="1:5" x14ac:dyDescent="0.25">
      <c r="A2916" s="3" t="s">
        <v>5</v>
      </c>
      <c r="B2916" s="3" t="s">
        <v>744</v>
      </c>
      <c r="C2916" s="3" t="s">
        <v>26</v>
      </c>
      <c r="D2916" s="4">
        <f>HYPERLINK("https://cao.dolgi.msk.ru/account/1060626376/", 1060626376)</f>
        <v>1060626376</v>
      </c>
      <c r="E2916" s="3">
        <v>146588.93</v>
      </c>
    </row>
    <row r="2917" spans="1:5" x14ac:dyDescent="0.25">
      <c r="A2917" s="3" t="s">
        <v>5</v>
      </c>
      <c r="B2917" s="3" t="s">
        <v>745</v>
      </c>
      <c r="C2917" s="3" t="s">
        <v>132</v>
      </c>
      <c r="D2917" s="4">
        <f>HYPERLINK("https://cao.dolgi.msk.ru/account/1060559804/", 1060559804)</f>
        <v>1060559804</v>
      </c>
      <c r="E2917" s="3">
        <v>182141.63</v>
      </c>
    </row>
    <row r="2918" spans="1:5" x14ac:dyDescent="0.25">
      <c r="A2918" s="3" t="s">
        <v>5</v>
      </c>
      <c r="B2918" s="3" t="s">
        <v>745</v>
      </c>
      <c r="C2918" s="3" t="s">
        <v>135</v>
      </c>
      <c r="D2918" s="4">
        <f>HYPERLINK("https://cao.dolgi.msk.ru/account/1060559847/", 1060559847)</f>
        <v>1060559847</v>
      </c>
      <c r="E2918" s="3">
        <v>54514.34</v>
      </c>
    </row>
    <row r="2919" spans="1:5" x14ac:dyDescent="0.25">
      <c r="A2919" s="3" t="s">
        <v>5</v>
      </c>
      <c r="B2919" s="3" t="s">
        <v>746</v>
      </c>
      <c r="C2919" s="3" t="s">
        <v>9</v>
      </c>
      <c r="D2919" s="4">
        <f>HYPERLINK("https://cao.dolgi.msk.ru/account/1060561445/", 1060561445)</f>
        <v>1060561445</v>
      </c>
      <c r="E2919" s="3">
        <v>88706.63</v>
      </c>
    </row>
    <row r="2920" spans="1:5" x14ac:dyDescent="0.25">
      <c r="A2920" s="3" t="s">
        <v>5</v>
      </c>
      <c r="B2920" s="3" t="s">
        <v>746</v>
      </c>
      <c r="C2920" s="3" t="s">
        <v>105</v>
      </c>
      <c r="D2920" s="4">
        <f>HYPERLINK("https://cao.dolgi.msk.ru/account/1060561488/", 1060561488)</f>
        <v>1060561488</v>
      </c>
      <c r="E2920" s="3">
        <v>10167.18</v>
      </c>
    </row>
    <row r="2921" spans="1:5" x14ac:dyDescent="0.25">
      <c r="A2921" s="3" t="s">
        <v>5</v>
      </c>
      <c r="B2921" s="3" t="s">
        <v>746</v>
      </c>
      <c r="C2921" s="3" t="s">
        <v>133</v>
      </c>
      <c r="D2921" s="4">
        <f>HYPERLINK("https://cao.dolgi.msk.ru/account/1060561509/", 1060561509)</f>
        <v>1060561509</v>
      </c>
      <c r="E2921" s="3">
        <v>12186.52</v>
      </c>
    </row>
    <row r="2922" spans="1:5" x14ac:dyDescent="0.25">
      <c r="A2922" s="3" t="s">
        <v>5</v>
      </c>
      <c r="B2922" s="3" t="s">
        <v>746</v>
      </c>
      <c r="C2922" s="3" t="s">
        <v>141</v>
      </c>
      <c r="D2922" s="4">
        <f>HYPERLINK("https://cao.dolgi.msk.ru/account/1060561621/", 1060561621)</f>
        <v>1060561621</v>
      </c>
      <c r="E2922" s="3">
        <v>15665.67</v>
      </c>
    </row>
    <row r="2923" spans="1:5" x14ac:dyDescent="0.25">
      <c r="A2923" s="3" t="s">
        <v>5</v>
      </c>
      <c r="B2923" s="3" t="s">
        <v>746</v>
      </c>
      <c r="C2923" s="3" t="s">
        <v>11</v>
      </c>
      <c r="D2923" s="4">
        <f>HYPERLINK("https://cao.dolgi.msk.ru/account/1060561728/", 1060561728)</f>
        <v>1060561728</v>
      </c>
      <c r="E2923" s="3">
        <v>18702.439999999999</v>
      </c>
    </row>
    <row r="2924" spans="1:5" x14ac:dyDescent="0.25">
      <c r="A2924" s="3" t="s">
        <v>5</v>
      </c>
      <c r="B2924" s="3" t="s">
        <v>746</v>
      </c>
      <c r="C2924" s="3" t="s">
        <v>14</v>
      </c>
      <c r="D2924" s="4">
        <f>HYPERLINK("https://cao.dolgi.msk.ru/account/1060561752/", 1060561752)</f>
        <v>1060561752</v>
      </c>
      <c r="E2924" s="3">
        <v>242701.31</v>
      </c>
    </row>
    <row r="2925" spans="1:5" x14ac:dyDescent="0.25">
      <c r="A2925" s="3" t="s">
        <v>5</v>
      </c>
      <c r="B2925" s="3" t="s">
        <v>746</v>
      </c>
      <c r="C2925" s="3" t="s">
        <v>20</v>
      </c>
      <c r="D2925" s="4">
        <f>HYPERLINK("https://cao.dolgi.msk.ru/account/1060561816/", 1060561816)</f>
        <v>1060561816</v>
      </c>
      <c r="E2925" s="3">
        <v>14717.01</v>
      </c>
    </row>
    <row r="2926" spans="1:5" x14ac:dyDescent="0.25">
      <c r="A2926" s="3" t="s">
        <v>5</v>
      </c>
      <c r="B2926" s="3" t="s">
        <v>746</v>
      </c>
      <c r="C2926" s="3" t="s">
        <v>21</v>
      </c>
      <c r="D2926" s="4">
        <f>HYPERLINK("https://cao.dolgi.msk.ru/account/1060561824/", 1060561824)</f>
        <v>1060561824</v>
      </c>
      <c r="E2926" s="3">
        <v>21284.18</v>
      </c>
    </row>
    <row r="2927" spans="1:5" x14ac:dyDescent="0.25">
      <c r="A2927" s="3" t="s">
        <v>5</v>
      </c>
      <c r="B2927" s="3" t="s">
        <v>746</v>
      </c>
      <c r="C2927" s="3" t="s">
        <v>25</v>
      </c>
      <c r="D2927" s="4">
        <f>HYPERLINK("https://cao.dolgi.msk.ru/account/1060561891/", 1060561891)</f>
        <v>1060561891</v>
      </c>
      <c r="E2927" s="3">
        <v>66808.23</v>
      </c>
    </row>
    <row r="2928" spans="1:5" x14ac:dyDescent="0.25">
      <c r="A2928" s="3" t="s">
        <v>5</v>
      </c>
      <c r="B2928" s="3" t="s">
        <v>746</v>
      </c>
      <c r="C2928" s="3" t="s">
        <v>36</v>
      </c>
      <c r="D2928" s="4">
        <f>HYPERLINK("https://cao.dolgi.msk.ru/account/1060562018/", 1060562018)</f>
        <v>1060562018</v>
      </c>
      <c r="E2928" s="3">
        <v>8320.31</v>
      </c>
    </row>
    <row r="2929" spans="1:5" x14ac:dyDescent="0.25">
      <c r="A2929" s="3" t="s">
        <v>5</v>
      </c>
      <c r="B2929" s="3" t="s">
        <v>746</v>
      </c>
      <c r="C2929" s="3" t="s">
        <v>53</v>
      </c>
      <c r="D2929" s="4">
        <f>HYPERLINK("https://cao.dolgi.msk.ru/account/1060562253/", 1060562253)</f>
        <v>1060562253</v>
      </c>
      <c r="E2929" s="3">
        <v>9662.2099999999991</v>
      </c>
    </row>
    <row r="2930" spans="1:5" x14ac:dyDescent="0.25">
      <c r="A2930" s="3" t="s">
        <v>5</v>
      </c>
      <c r="B2930" s="3" t="s">
        <v>746</v>
      </c>
      <c r="C2930" s="3" t="s">
        <v>54</v>
      </c>
      <c r="D2930" s="4">
        <f>HYPERLINK("https://cao.dolgi.msk.ru/account/1060562261/", 1060562261)</f>
        <v>1060562261</v>
      </c>
      <c r="E2930" s="3">
        <v>21489.8</v>
      </c>
    </row>
    <row r="2931" spans="1:5" x14ac:dyDescent="0.25">
      <c r="A2931" s="3" t="s">
        <v>5</v>
      </c>
      <c r="B2931" s="3" t="s">
        <v>747</v>
      </c>
      <c r="C2931" s="3" t="s">
        <v>51</v>
      </c>
      <c r="D2931" s="4">
        <f>HYPERLINK("https://cao.dolgi.msk.ru/account/1060773149/", 1060773149)</f>
        <v>1060773149</v>
      </c>
      <c r="E2931" s="3">
        <v>16456.939999999999</v>
      </c>
    </row>
    <row r="2932" spans="1:5" x14ac:dyDescent="0.25">
      <c r="A2932" s="3" t="s">
        <v>5</v>
      </c>
      <c r="B2932" s="3" t="s">
        <v>747</v>
      </c>
      <c r="C2932" s="3" t="s">
        <v>30</v>
      </c>
      <c r="D2932" s="4">
        <f>HYPERLINK("https://cao.dolgi.msk.ru/account/1060613049/", 1060613049)</f>
        <v>1060613049</v>
      </c>
      <c r="E2932" s="3">
        <v>270720.07</v>
      </c>
    </row>
    <row r="2933" spans="1:5" x14ac:dyDescent="0.25">
      <c r="A2933" s="3" t="s">
        <v>5</v>
      </c>
      <c r="B2933" s="3" t="s">
        <v>747</v>
      </c>
      <c r="C2933" s="3" t="s">
        <v>105</v>
      </c>
      <c r="D2933" s="4">
        <f>HYPERLINK("https://cao.dolgi.msk.ru/account/1060613081/", 1060613081)</f>
        <v>1060613081</v>
      </c>
      <c r="E2933" s="3">
        <v>15466.96</v>
      </c>
    </row>
    <row r="2934" spans="1:5" x14ac:dyDescent="0.25">
      <c r="A2934" s="3" t="s">
        <v>5</v>
      </c>
      <c r="B2934" s="3" t="s">
        <v>747</v>
      </c>
      <c r="C2934" s="3" t="s">
        <v>142</v>
      </c>
      <c r="D2934" s="4">
        <f>HYPERLINK("https://cao.dolgi.msk.ru/account/1060870897/", 1060870897)</f>
        <v>1060870897</v>
      </c>
      <c r="E2934" s="3">
        <v>24787.7</v>
      </c>
    </row>
    <row r="2935" spans="1:5" x14ac:dyDescent="0.25">
      <c r="A2935" s="3" t="s">
        <v>5</v>
      </c>
      <c r="B2935" s="3" t="s">
        <v>747</v>
      </c>
      <c r="C2935" s="3" t="s">
        <v>143</v>
      </c>
      <c r="D2935" s="4">
        <f>HYPERLINK("https://cao.dolgi.msk.ru/account/1060773165/", 1060773165)</f>
        <v>1060773165</v>
      </c>
      <c r="E2935" s="3">
        <v>10875.27</v>
      </c>
    </row>
    <row r="2936" spans="1:5" x14ac:dyDescent="0.25">
      <c r="A2936" s="3" t="s">
        <v>5</v>
      </c>
      <c r="B2936" s="3" t="s">
        <v>747</v>
      </c>
      <c r="C2936" s="3" t="s">
        <v>7</v>
      </c>
      <c r="D2936" s="4">
        <f>HYPERLINK("https://cao.dolgi.msk.ru/account/1060773405/", 1060773405)</f>
        <v>1060773405</v>
      </c>
      <c r="E2936" s="3">
        <v>4707.43</v>
      </c>
    </row>
    <row r="2937" spans="1:5" x14ac:dyDescent="0.25">
      <c r="A2937" s="3" t="s">
        <v>5</v>
      </c>
      <c r="B2937" s="3" t="s">
        <v>748</v>
      </c>
      <c r="C2937" s="3" t="s">
        <v>89</v>
      </c>
      <c r="D2937" s="4">
        <f>HYPERLINK("https://cao.dolgi.msk.ru/account/1060876658/", 1060876658)</f>
        <v>1060876658</v>
      </c>
      <c r="E2937" s="3">
        <v>20171.259999999998</v>
      </c>
    </row>
    <row r="2938" spans="1:5" x14ac:dyDescent="0.25">
      <c r="A2938" s="3" t="s">
        <v>5</v>
      </c>
      <c r="B2938" s="3" t="s">
        <v>748</v>
      </c>
      <c r="C2938" s="3" t="s">
        <v>105</v>
      </c>
      <c r="D2938" s="4">
        <f>HYPERLINK("https://cao.dolgi.msk.ru/account/1060887744/", 1060887744)</f>
        <v>1060887744</v>
      </c>
      <c r="E2938" s="3">
        <v>121616.26</v>
      </c>
    </row>
    <row r="2939" spans="1:5" x14ac:dyDescent="0.25">
      <c r="A2939" s="3" t="s">
        <v>5</v>
      </c>
      <c r="B2939" s="3" t="s">
        <v>748</v>
      </c>
      <c r="C2939" s="3" t="s">
        <v>133</v>
      </c>
      <c r="D2939" s="4">
        <f>HYPERLINK("https://cao.dolgi.msk.ru/account/1060876666/", 1060876666)</f>
        <v>1060876666</v>
      </c>
      <c r="E2939" s="3">
        <v>9705.0400000000009</v>
      </c>
    </row>
    <row r="2940" spans="1:5" x14ac:dyDescent="0.25">
      <c r="A2940" s="3" t="s">
        <v>5</v>
      </c>
      <c r="B2940" s="3" t="s">
        <v>748</v>
      </c>
      <c r="C2940" s="3" t="s">
        <v>134</v>
      </c>
      <c r="D2940" s="4">
        <f>HYPERLINK("https://cao.dolgi.msk.ru/account/1060877394/", 1060877394)</f>
        <v>1060877394</v>
      </c>
      <c r="E2940" s="3">
        <v>8911.1299999999992</v>
      </c>
    </row>
    <row r="2941" spans="1:5" x14ac:dyDescent="0.25">
      <c r="A2941" s="3" t="s">
        <v>5</v>
      </c>
      <c r="B2941" s="3" t="s">
        <v>748</v>
      </c>
      <c r="C2941" s="3" t="s">
        <v>24</v>
      </c>
      <c r="D2941" s="4">
        <f>HYPERLINK("https://cao.dolgi.msk.ru/account/1060857852/", 1060857852)</f>
        <v>1060857852</v>
      </c>
      <c r="E2941" s="3">
        <v>11648.03</v>
      </c>
    </row>
    <row r="2942" spans="1:5" x14ac:dyDescent="0.25">
      <c r="A2942" s="3" t="s">
        <v>5</v>
      </c>
      <c r="B2942" s="3" t="s">
        <v>748</v>
      </c>
      <c r="C2942" s="3" t="s">
        <v>26</v>
      </c>
      <c r="D2942" s="4">
        <f>HYPERLINK("https://cao.dolgi.msk.ru/account/1060863849/", 1060863849)</f>
        <v>1060863849</v>
      </c>
      <c r="E2942" s="3">
        <v>31556.59</v>
      </c>
    </row>
    <row r="2943" spans="1:5" x14ac:dyDescent="0.25">
      <c r="A2943" s="3" t="s">
        <v>5</v>
      </c>
      <c r="B2943" s="3" t="s">
        <v>748</v>
      </c>
      <c r="C2943" s="3" t="s">
        <v>28</v>
      </c>
      <c r="D2943" s="4">
        <f>HYPERLINK("https://cao.dolgi.msk.ru/account/1060864788/", 1060864788)</f>
        <v>1060864788</v>
      </c>
      <c r="E2943" s="3">
        <v>24779.14</v>
      </c>
    </row>
    <row r="2944" spans="1:5" x14ac:dyDescent="0.25">
      <c r="A2944" s="3" t="s">
        <v>5</v>
      </c>
      <c r="B2944" s="3" t="s">
        <v>748</v>
      </c>
      <c r="C2944" s="3" t="s">
        <v>36</v>
      </c>
      <c r="D2944" s="4">
        <f>HYPERLINK("https://cao.dolgi.msk.ru/account/1060875858/", 1060875858)</f>
        <v>1060875858</v>
      </c>
      <c r="E2944" s="3">
        <v>36732.300000000003</v>
      </c>
    </row>
    <row r="2945" spans="1:5" x14ac:dyDescent="0.25">
      <c r="A2945" s="3" t="s">
        <v>5</v>
      </c>
      <c r="B2945" s="3" t="s">
        <v>748</v>
      </c>
      <c r="C2945" s="3" t="s">
        <v>45</v>
      </c>
      <c r="D2945" s="4">
        <f>HYPERLINK("https://cao.dolgi.msk.ru/account/1060867233/", 1060867233)</f>
        <v>1060867233</v>
      </c>
      <c r="E2945" s="3">
        <v>21572.93</v>
      </c>
    </row>
    <row r="2946" spans="1:5" x14ac:dyDescent="0.25">
      <c r="A2946" s="3" t="s">
        <v>5</v>
      </c>
      <c r="B2946" s="3" t="s">
        <v>748</v>
      </c>
      <c r="C2946" s="3" t="s">
        <v>53</v>
      </c>
      <c r="D2946" s="4">
        <f>HYPERLINK("https://cao.dolgi.msk.ru/account/1060870918/", 1060870918)</f>
        <v>1060870918</v>
      </c>
      <c r="E2946" s="3">
        <v>66125.279999999999</v>
      </c>
    </row>
    <row r="2947" spans="1:5" x14ac:dyDescent="0.25">
      <c r="A2947" s="3" t="s">
        <v>5</v>
      </c>
      <c r="B2947" s="3" t="s">
        <v>748</v>
      </c>
      <c r="C2947" s="3" t="s">
        <v>55</v>
      </c>
      <c r="D2947" s="4">
        <f>HYPERLINK("https://cao.dolgi.msk.ru/account/1060887613/", 1060887613)</f>
        <v>1060887613</v>
      </c>
      <c r="E2947" s="3">
        <v>35147.199999999997</v>
      </c>
    </row>
    <row r="2948" spans="1:5" x14ac:dyDescent="0.25">
      <c r="A2948" s="3" t="s">
        <v>5</v>
      </c>
      <c r="B2948" s="3" t="s">
        <v>748</v>
      </c>
      <c r="C2948" s="3" t="s">
        <v>56</v>
      </c>
      <c r="D2948" s="4">
        <f>HYPERLINK("https://cao.dolgi.msk.ru/account/1060878709/", 1060878709)</f>
        <v>1060878709</v>
      </c>
      <c r="E2948" s="3">
        <v>25049.919999999998</v>
      </c>
    </row>
    <row r="2949" spans="1:5" x14ac:dyDescent="0.25">
      <c r="A2949" s="3" t="s">
        <v>5</v>
      </c>
      <c r="B2949" s="3" t="s">
        <v>748</v>
      </c>
      <c r="C2949" s="3" t="s">
        <v>65</v>
      </c>
      <c r="D2949" s="4">
        <f>HYPERLINK("https://cao.dolgi.msk.ru/account/1060885693/", 1060885693)</f>
        <v>1060885693</v>
      </c>
      <c r="E2949" s="3">
        <v>10677.03</v>
      </c>
    </row>
    <row r="2950" spans="1:5" x14ac:dyDescent="0.25">
      <c r="A2950" s="3" t="s">
        <v>5</v>
      </c>
      <c r="B2950" s="3" t="s">
        <v>748</v>
      </c>
      <c r="C2950" s="3" t="s">
        <v>73</v>
      </c>
      <c r="D2950" s="4">
        <f>HYPERLINK("https://cao.dolgi.msk.ru/account/1060889053/", 1060889053)</f>
        <v>1060889053</v>
      </c>
      <c r="E2950" s="3">
        <v>51158.51</v>
      </c>
    </row>
    <row r="2951" spans="1:5" x14ac:dyDescent="0.25">
      <c r="A2951" s="3" t="s">
        <v>5</v>
      </c>
      <c r="B2951" s="3" t="s">
        <v>748</v>
      </c>
      <c r="C2951" s="3" t="s">
        <v>74</v>
      </c>
      <c r="D2951" s="4">
        <f>HYPERLINK("https://cao.dolgi.msk.ru/account/1060877271/", 1060877271)</f>
        <v>1060877271</v>
      </c>
      <c r="E2951" s="3">
        <v>21505.19</v>
      </c>
    </row>
    <row r="2952" spans="1:5" x14ac:dyDescent="0.25">
      <c r="A2952" s="3" t="s">
        <v>5</v>
      </c>
      <c r="B2952" s="3" t="s">
        <v>748</v>
      </c>
      <c r="C2952" s="3" t="s">
        <v>75</v>
      </c>
      <c r="D2952" s="4">
        <f>HYPERLINK("https://cao.dolgi.msk.ru/account/1060865852/", 1060865852)</f>
        <v>1060865852</v>
      </c>
      <c r="E2952" s="3">
        <v>23227.040000000001</v>
      </c>
    </row>
    <row r="2953" spans="1:5" x14ac:dyDescent="0.25">
      <c r="A2953" s="3" t="s">
        <v>5</v>
      </c>
      <c r="B2953" s="3" t="s">
        <v>748</v>
      </c>
      <c r="C2953" s="3" t="s">
        <v>76</v>
      </c>
      <c r="D2953" s="4">
        <f>HYPERLINK("https://cao.dolgi.msk.ru/account/1060863451/", 1060863451)</f>
        <v>1060863451</v>
      </c>
      <c r="E2953" s="3">
        <v>28899.65</v>
      </c>
    </row>
    <row r="2954" spans="1:5" x14ac:dyDescent="0.25">
      <c r="A2954" s="3" t="s">
        <v>5</v>
      </c>
      <c r="B2954" s="3" t="s">
        <v>748</v>
      </c>
      <c r="C2954" s="3" t="s">
        <v>80</v>
      </c>
      <c r="D2954" s="4">
        <f>HYPERLINK("https://cao.dolgi.msk.ru/account/1060866839/", 1060866839)</f>
        <v>1060866839</v>
      </c>
      <c r="E2954" s="3">
        <v>12012.26</v>
      </c>
    </row>
    <row r="2955" spans="1:5" x14ac:dyDescent="0.25">
      <c r="A2955" s="3" t="s">
        <v>5</v>
      </c>
      <c r="B2955" s="3" t="s">
        <v>748</v>
      </c>
      <c r="C2955" s="3" t="s">
        <v>84</v>
      </c>
      <c r="D2955" s="4">
        <f>HYPERLINK("https://cao.dolgi.msk.ru/account/1060863865/", 1060863865)</f>
        <v>1060863865</v>
      </c>
      <c r="E2955" s="3">
        <v>28126.16</v>
      </c>
    </row>
    <row r="2956" spans="1:5" x14ac:dyDescent="0.25">
      <c r="A2956" s="3" t="s">
        <v>5</v>
      </c>
      <c r="B2956" s="3" t="s">
        <v>748</v>
      </c>
      <c r="C2956" s="3" t="s">
        <v>144</v>
      </c>
      <c r="D2956" s="4">
        <f>HYPERLINK("https://cao.dolgi.msk.ru/account/1060866433/", 1060866433)</f>
        <v>1060866433</v>
      </c>
      <c r="E2956" s="3">
        <v>9904.6299999999992</v>
      </c>
    </row>
    <row r="2957" spans="1:5" x14ac:dyDescent="0.25">
      <c r="A2957" s="3" t="s">
        <v>5</v>
      </c>
      <c r="B2957" s="3" t="s">
        <v>748</v>
      </c>
      <c r="C2957" s="3" t="s">
        <v>95</v>
      </c>
      <c r="D2957" s="4">
        <f>HYPERLINK("https://cao.dolgi.msk.ru/account/1060867049/", 1060867049)</f>
        <v>1060867049</v>
      </c>
      <c r="E2957" s="3">
        <v>29446.59</v>
      </c>
    </row>
    <row r="2958" spans="1:5" x14ac:dyDescent="0.25">
      <c r="A2958" s="3" t="s">
        <v>5</v>
      </c>
      <c r="B2958" s="3" t="s">
        <v>748</v>
      </c>
      <c r="C2958" s="3" t="s">
        <v>101</v>
      </c>
      <c r="D2958" s="4">
        <f>HYPERLINK("https://cao.dolgi.msk.ru/account/1060864358/", 1060864358)</f>
        <v>1060864358</v>
      </c>
      <c r="E2958" s="3">
        <v>31043.83</v>
      </c>
    </row>
    <row r="2959" spans="1:5" x14ac:dyDescent="0.25">
      <c r="A2959" s="3" t="s">
        <v>5</v>
      </c>
      <c r="B2959" s="3" t="s">
        <v>748</v>
      </c>
      <c r="C2959" s="3" t="s">
        <v>145</v>
      </c>
      <c r="D2959" s="4">
        <f>HYPERLINK("https://cao.dolgi.msk.ru/account/1060869001/", 1060869001)</f>
        <v>1060869001</v>
      </c>
      <c r="E2959" s="3">
        <v>17995.900000000001</v>
      </c>
    </row>
    <row r="2960" spans="1:5" x14ac:dyDescent="0.25">
      <c r="A2960" s="3" t="s">
        <v>5</v>
      </c>
      <c r="B2960" s="3" t="s">
        <v>748</v>
      </c>
      <c r="C2960" s="3" t="s">
        <v>104</v>
      </c>
      <c r="D2960" s="4">
        <f>HYPERLINK("https://cao.dolgi.msk.ru/account/1060868324/", 1060868324)</f>
        <v>1060868324</v>
      </c>
      <c r="E2960" s="3">
        <v>49139.97</v>
      </c>
    </row>
    <row r="2961" spans="1:5" x14ac:dyDescent="0.25">
      <c r="A2961" s="3" t="s">
        <v>5</v>
      </c>
      <c r="B2961" s="3" t="s">
        <v>748</v>
      </c>
      <c r="C2961" s="3" t="s">
        <v>111</v>
      </c>
      <c r="D2961" s="4">
        <f>HYPERLINK("https://cao.dolgi.msk.ru/account/1060882185/", 1060882185)</f>
        <v>1060882185</v>
      </c>
      <c r="E2961" s="3">
        <v>14827.54</v>
      </c>
    </row>
    <row r="2962" spans="1:5" x14ac:dyDescent="0.25">
      <c r="A2962" s="3" t="s">
        <v>5</v>
      </c>
      <c r="B2962" s="3" t="s">
        <v>748</v>
      </c>
      <c r="C2962" s="3" t="s">
        <v>113</v>
      </c>
      <c r="D2962" s="4">
        <f>HYPERLINK("https://cao.dolgi.msk.ru/account/1060866548/", 1060866548)</f>
        <v>1060866548</v>
      </c>
      <c r="E2962" s="3">
        <v>20303.189999999999</v>
      </c>
    </row>
    <row r="2963" spans="1:5" x14ac:dyDescent="0.25">
      <c r="A2963" s="3" t="s">
        <v>5</v>
      </c>
      <c r="B2963" s="3" t="s">
        <v>748</v>
      </c>
      <c r="C2963" s="3" t="s">
        <v>150</v>
      </c>
      <c r="D2963" s="4">
        <f>HYPERLINK("https://cao.dolgi.msk.ru/account/1060871267/", 1060871267)</f>
        <v>1060871267</v>
      </c>
      <c r="E2963" s="3">
        <v>83820.100000000006</v>
      </c>
    </row>
    <row r="2964" spans="1:5" x14ac:dyDescent="0.25">
      <c r="A2964" s="3" t="s">
        <v>5</v>
      </c>
      <c r="B2964" s="3" t="s">
        <v>748</v>
      </c>
      <c r="C2964" s="3" t="s">
        <v>159</v>
      </c>
      <c r="D2964" s="4">
        <f>HYPERLINK("https://cao.dolgi.msk.ru/account/1060864585/", 1060864585)</f>
        <v>1060864585</v>
      </c>
      <c r="E2964" s="3">
        <v>25470.720000000001</v>
      </c>
    </row>
    <row r="2965" spans="1:5" x14ac:dyDescent="0.25">
      <c r="A2965" s="3" t="s">
        <v>5</v>
      </c>
      <c r="B2965" s="3" t="s">
        <v>748</v>
      </c>
      <c r="C2965" s="3" t="s">
        <v>160</v>
      </c>
      <c r="D2965" s="4">
        <f>HYPERLINK("https://cao.dolgi.msk.ru/account/1060866871/", 1060866871)</f>
        <v>1060866871</v>
      </c>
      <c r="E2965" s="3">
        <v>133536.88</v>
      </c>
    </row>
    <row r="2966" spans="1:5" x14ac:dyDescent="0.25">
      <c r="A2966" s="3" t="s">
        <v>5</v>
      </c>
      <c r="B2966" s="3" t="s">
        <v>748</v>
      </c>
      <c r="C2966" s="3" t="s">
        <v>170</v>
      </c>
      <c r="D2966" s="4">
        <f>HYPERLINK("https://cao.dolgi.msk.ru/account/1060864921/", 1060864921)</f>
        <v>1060864921</v>
      </c>
      <c r="E2966" s="3">
        <v>10298.280000000001</v>
      </c>
    </row>
    <row r="2967" spans="1:5" x14ac:dyDescent="0.25">
      <c r="A2967" s="3" t="s">
        <v>5</v>
      </c>
      <c r="B2967" s="3" t="s">
        <v>748</v>
      </c>
      <c r="C2967" s="3" t="s">
        <v>176</v>
      </c>
      <c r="D2967" s="4">
        <f>HYPERLINK("https://cao.dolgi.msk.ru/account/1060862512/", 1060862512)</f>
        <v>1060862512</v>
      </c>
      <c r="E2967" s="3">
        <v>83220.31</v>
      </c>
    </row>
    <row r="2968" spans="1:5" x14ac:dyDescent="0.25">
      <c r="A2968" s="3" t="s">
        <v>5</v>
      </c>
      <c r="B2968" s="3" t="s">
        <v>748</v>
      </c>
      <c r="C2968" s="3" t="s">
        <v>177</v>
      </c>
      <c r="D2968" s="4">
        <f>HYPERLINK("https://cao.dolgi.msk.ru/account/1060902879/", 1060902879)</f>
        <v>1060902879</v>
      </c>
      <c r="E2968" s="3">
        <v>37982.730000000003</v>
      </c>
    </row>
    <row r="2969" spans="1:5" x14ac:dyDescent="0.25">
      <c r="A2969" s="3" t="s">
        <v>5</v>
      </c>
      <c r="B2969" s="3" t="s">
        <v>748</v>
      </c>
      <c r="C2969" s="3" t="s">
        <v>179</v>
      </c>
      <c r="D2969" s="4">
        <f>HYPERLINK("https://cao.dolgi.msk.ru/account/1060877191/", 1060877191)</f>
        <v>1060877191</v>
      </c>
      <c r="E2969" s="3">
        <v>17406.64</v>
      </c>
    </row>
    <row r="2970" spans="1:5" x14ac:dyDescent="0.25">
      <c r="A2970" s="3" t="s">
        <v>5</v>
      </c>
      <c r="B2970" s="3" t="s">
        <v>748</v>
      </c>
      <c r="C2970" s="3" t="s">
        <v>182</v>
      </c>
      <c r="D2970" s="4">
        <f>HYPERLINK("https://cao.dolgi.msk.ru/account/1060877706/", 1060877706)</f>
        <v>1060877706</v>
      </c>
      <c r="E2970" s="3">
        <v>37126.43</v>
      </c>
    </row>
    <row r="2971" spans="1:5" x14ac:dyDescent="0.25">
      <c r="A2971" s="3" t="s">
        <v>5</v>
      </c>
      <c r="B2971" s="3" t="s">
        <v>748</v>
      </c>
      <c r="C2971" s="3" t="s">
        <v>185</v>
      </c>
      <c r="D2971" s="4">
        <f>HYPERLINK("https://cao.dolgi.msk.ru/account/1060862918/", 1060862918)</f>
        <v>1060862918</v>
      </c>
      <c r="E2971" s="3">
        <v>11979.71</v>
      </c>
    </row>
    <row r="2972" spans="1:5" x14ac:dyDescent="0.25">
      <c r="A2972" s="3" t="s">
        <v>5</v>
      </c>
      <c r="B2972" s="3" t="s">
        <v>748</v>
      </c>
      <c r="C2972" s="3" t="s">
        <v>200</v>
      </c>
      <c r="D2972" s="4">
        <f>HYPERLINK("https://cao.dolgi.msk.ru/account/1060878733/", 1060878733)</f>
        <v>1060878733</v>
      </c>
      <c r="E2972" s="3">
        <v>11215.34</v>
      </c>
    </row>
    <row r="2973" spans="1:5" x14ac:dyDescent="0.25">
      <c r="A2973" s="3" t="s">
        <v>5</v>
      </c>
      <c r="B2973" s="3" t="s">
        <v>748</v>
      </c>
      <c r="C2973" s="3" t="s">
        <v>201</v>
      </c>
      <c r="D2973" s="4">
        <f>HYPERLINK("https://cao.dolgi.msk.ru/account/1060862467/", 1060862467)</f>
        <v>1060862467</v>
      </c>
      <c r="E2973" s="3">
        <v>24924.86</v>
      </c>
    </row>
    <row r="2974" spans="1:5" x14ac:dyDescent="0.25">
      <c r="A2974" s="3" t="s">
        <v>5</v>
      </c>
      <c r="B2974" s="3" t="s">
        <v>748</v>
      </c>
      <c r="C2974" s="3" t="s">
        <v>202</v>
      </c>
      <c r="D2974" s="4">
        <f>HYPERLINK("https://cao.dolgi.msk.ru/account/1060862475/", 1060862475)</f>
        <v>1060862475</v>
      </c>
      <c r="E2974" s="3">
        <v>19079.78</v>
      </c>
    </row>
    <row r="2975" spans="1:5" x14ac:dyDescent="0.25">
      <c r="A2975" s="3" t="s">
        <v>5</v>
      </c>
      <c r="B2975" s="3" t="s">
        <v>748</v>
      </c>
      <c r="C2975" s="3" t="s">
        <v>214</v>
      </c>
      <c r="D2975" s="4">
        <f>HYPERLINK("https://cao.dolgi.msk.ru/account/1060867313/", 1060867313)</f>
        <v>1060867313</v>
      </c>
      <c r="E2975" s="3">
        <v>10710.73</v>
      </c>
    </row>
    <row r="2976" spans="1:5" x14ac:dyDescent="0.25">
      <c r="A2976" s="3" t="s">
        <v>5</v>
      </c>
      <c r="B2976" s="3" t="s">
        <v>748</v>
      </c>
      <c r="C2976" s="3" t="s">
        <v>223</v>
      </c>
      <c r="D2976" s="4">
        <f>HYPERLINK("https://cao.dolgi.msk.ru/account/1060862678/", 1060862678)</f>
        <v>1060862678</v>
      </c>
      <c r="E2976" s="3">
        <v>34453.97</v>
      </c>
    </row>
    <row r="2977" spans="1:5" x14ac:dyDescent="0.25">
      <c r="A2977" s="3" t="s">
        <v>5</v>
      </c>
      <c r="B2977" s="3" t="s">
        <v>748</v>
      </c>
      <c r="C2977" s="3" t="s">
        <v>224</v>
      </c>
      <c r="D2977" s="4">
        <f>HYPERLINK("https://cao.dolgi.msk.ru/account/1060869175/", 1060869175)</f>
        <v>1060869175</v>
      </c>
      <c r="E2977" s="3">
        <v>20252.97</v>
      </c>
    </row>
    <row r="2978" spans="1:5" x14ac:dyDescent="0.25">
      <c r="A2978" s="3" t="s">
        <v>5</v>
      </c>
      <c r="B2978" s="3" t="s">
        <v>748</v>
      </c>
      <c r="C2978" s="3" t="s">
        <v>233</v>
      </c>
      <c r="D2978" s="4">
        <f>HYPERLINK("https://cao.dolgi.msk.ru/account/1060857801/", 1060857801)</f>
        <v>1060857801</v>
      </c>
      <c r="E2978" s="3">
        <v>20463.650000000001</v>
      </c>
    </row>
    <row r="2979" spans="1:5" x14ac:dyDescent="0.25">
      <c r="A2979" s="3" t="s">
        <v>5</v>
      </c>
      <c r="B2979" s="3" t="s">
        <v>748</v>
      </c>
      <c r="C2979" s="3" t="s">
        <v>234</v>
      </c>
      <c r="D2979" s="4">
        <f>HYPERLINK("https://cao.dolgi.msk.ru/account/1060861229/", 1060861229)</f>
        <v>1060861229</v>
      </c>
      <c r="E2979" s="3">
        <v>62678.68</v>
      </c>
    </row>
    <row r="2980" spans="1:5" x14ac:dyDescent="0.25">
      <c r="A2980" s="3" t="s">
        <v>5</v>
      </c>
      <c r="B2980" s="3" t="s">
        <v>748</v>
      </c>
      <c r="C2980" s="3" t="s">
        <v>238</v>
      </c>
      <c r="D2980" s="4">
        <f>HYPERLINK("https://cao.dolgi.msk.ru/account/1060858222/", 1060858222)</f>
        <v>1060858222</v>
      </c>
      <c r="E2980" s="3">
        <v>200533.85</v>
      </c>
    </row>
    <row r="2981" spans="1:5" x14ac:dyDescent="0.25">
      <c r="A2981" s="3" t="s">
        <v>5</v>
      </c>
      <c r="B2981" s="3" t="s">
        <v>748</v>
      </c>
      <c r="C2981" s="3" t="s">
        <v>240</v>
      </c>
      <c r="D2981" s="4">
        <f>HYPERLINK("https://cao.dolgi.msk.ru/account/1060858265/", 1060858265)</f>
        <v>1060858265</v>
      </c>
      <c r="E2981" s="3">
        <v>49459.88</v>
      </c>
    </row>
    <row r="2982" spans="1:5" x14ac:dyDescent="0.25">
      <c r="A2982" s="3" t="s">
        <v>5</v>
      </c>
      <c r="B2982" s="3" t="s">
        <v>748</v>
      </c>
      <c r="C2982" s="3" t="s">
        <v>247</v>
      </c>
      <c r="D2982" s="4">
        <f>HYPERLINK("https://cao.dolgi.msk.ru/account/1060861958/", 1060861958)</f>
        <v>1060861958</v>
      </c>
      <c r="E2982" s="3">
        <v>6267.46</v>
      </c>
    </row>
    <row r="2983" spans="1:5" x14ac:dyDescent="0.25">
      <c r="A2983" s="3" t="s">
        <v>5</v>
      </c>
      <c r="B2983" s="3" t="s">
        <v>748</v>
      </c>
      <c r="C2983" s="3" t="s">
        <v>257</v>
      </c>
      <c r="D2983" s="4">
        <f>HYPERLINK("https://cao.dolgi.msk.ru/account/1060875962/", 1060875962)</f>
        <v>1060875962</v>
      </c>
      <c r="E2983" s="3">
        <v>16893.400000000001</v>
      </c>
    </row>
    <row r="2984" spans="1:5" x14ac:dyDescent="0.25">
      <c r="A2984" s="3" t="s">
        <v>5</v>
      </c>
      <c r="B2984" s="3" t="s">
        <v>748</v>
      </c>
      <c r="C2984" s="3" t="s">
        <v>262</v>
      </c>
      <c r="D2984" s="4">
        <f>HYPERLINK("https://cao.dolgi.msk.ru/account/1060866353/", 1060866353)</f>
        <v>1060866353</v>
      </c>
      <c r="E2984" s="3">
        <v>9956.61</v>
      </c>
    </row>
    <row r="2985" spans="1:5" x14ac:dyDescent="0.25">
      <c r="A2985" s="3" t="s">
        <v>5</v>
      </c>
      <c r="B2985" s="3" t="s">
        <v>748</v>
      </c>
      <c r="C2985" s="3" t="s">
        <v>263</v>
      </c>
      <c r="D2985" s="4">
        <f>HYPERLINK("https://cao.dolgi.msk.ru/account/1060861966/", 1060861966)</f>
        <v>1060861966</v>
      </c>
      <c r="E2985" s="3">
        <v>7630.17</v>
      </c>
    </row>
    <row r="2986" spans="1:5" x14ac:dyDescent="0.25">
      <c r="A2986" s="3" t="s">
        <v>5</v>
      </c>
      <c r="B2986" s="3" t="s">
        <v>748</v>
      </c>
      <c r="C2986" s="3" t="s">
        <v>277</v>
      </c>
      <c r="D2986" s="4">
        <f>HYPERLINK("https://cao.dolgi.msk.ru/account/1060903126/", 1060903126)</f>
        <v>1060903126</v>
      </c>
      <c r="E2986" s="3">
        <v>16632.66</v>
      </c>
    </row>
    <row r="2987" spans="1:5" x14ac:dyDescent="0.25">
      <c r="A2987" s="3" t="s">
        <v>5</v>
      </c>
      <c r="B2987" s="3" t="s">
        <v>748</v>
      </c>
      <c r="C2987" s="3" t="s">
        <v>278</v>
      </c>
      <c r="D2987" s="4">
        <f>HYPERLINK("https://cao.dolgi.msk.ru/account/1060859129/", 1060859129)</f>
        <v>1060859129</v>
      </c>
      <c r="E2987" s="3">
        <v>4616.6000000000004</v>
      </c>
    </row>
    <row r="2988" spans="1:5" x14ac:dyDescent="0.25">
      <c r="A2988" s="3" t="s">
        <v>5</v>
      </c>
      <c r="B2988" s="3" t="s">
        <v>748</v>
      </c>
      <c r="C2988" s="3" t="s">
        <v>279</v>
      </c>
      <c r="D2988" s="4">
        <f>HYPERLINK("https://cao.dolgi.msk.ru/account/1060867727/", 1060867727)</f>
        <v>1060867727</v>
      </c>
      <c r="E2988" s="3">
        <v>10752.13</v>
      </c>
    </row>
    <row r="2989" spans="1:5" x14ac:dyDescent="0.25">
      <c r="A2989" s="3" t="s">
        <v>5</v>
      </c>
      <c r="B2989" s="3" t="s">
        <v>748</v>
      </c>
      <c r="C2989" s="3" t="s">
        <v>280</v>
      </c>
      <c r="D2989" s="4">
        <f>HYPERLINK("https://cao.dolgi.msk.ru/account/1060884332/", 1060884332)</f>
        <v>1060884332</v>
      </c>
      <c r="E2989" s="3">
        <v>204106.01</v>
      </c>
    </row>
    <row r="2990" spans="1:5" x14ac:dyDescent="0.25">
      <c r="A2990" s="3" t="s">
        <v>5</v>
      </c>
      <c r="B2990" s="3" t="s">
        <v>748</v>
      </c>
      <c r="C2990" s="3" t="s">
        <v>281</v>
      </c>
      <c r="D2990" s="4">
        <f>HYPERLINK("https://cao.dolgi.msk.ru/account/1060862723/", 1060862723)</f>
        <v>1060862723</v>
      </c>
      <c r="E2990" s="3">
        <v>8113.1</v>
      </c>
    </row>
    <row r="2991" spans="1:5" x14ac:dyDescent="0.25">
      <c r="A2991" s="3" t="s">
        <v>5</v>
      </c>
      <c r="B2991" s="3" t="s">
        <v>748</v>
      </c>
      <c r="C2991" s="3" t="s">
        <v>283</v>
      </c>
      <c r="D2991" s="4">
        <f>HYPERLINK("https://cao.dolgi.msk.ru/account/1060857828/", 1060857828)</f>
        <v>1060857828</v>
      </c>
      <c r="E2991" s="3">
        <v>6265.46</v>
      </c>
    </row>
    <row r="2992" spans="1:5" x14ac:dyDescent="0.25">
      <c r="A2992" s="3" t="s">
        <v>5</v>
      </c>
      <c r="B2992" s="3" t="s">
        <v>748</v>
      </c>
      <c r="C2992" s="3" t="s">
        <v>284</v>
      </c>
      <c r="D2992" s="4">
        <f>HYPERLINK("https://cao.dolgi.msk.ru/account/1060861202/", 1060861202)</f>
        <v>1060861202</v>
      </c>
      <c r="E2992" s="3">
        <v>77374.73</v>
      </c>
    </row>
    <row r="2993" spans="1:5" x14ac:dyDescent="0.25">
      <c r="A2993" s="3" t="s">
        <v>5</v>
      </c>
      <c r="B2993" s="3" t="s">
        <v>748</v>
      </c>
      <c r="C2993" s="3" t="s">
        <v>290</v>
      </c>
      <c r="D2993" s="4">
        <f>HYPERLINK("https://cao.dolgi.msk.ru/account/1060861421/", 1060861421)</f>
        <v>1060861421</v>
      </c>
      <c r="E2993" s="3">
        <v>8096.77</v>
      </c>
    </row>
    <row r="2994" spans="1:5" x14ac:dyDescent="0.25">
      <c r="A2994" s="3" t="s">
        <v>5</v>
      </c>
      <c r="B2994" s="3" t="s">
        <v>748</v>
      </c>
      <c r="C2994" s="3" t="s">
        <v>70</v>
      </c>
      <c r="D2994" s="4">
        <f>HYPERLINK("https://cao.dolgi.msk.ru/account/1060884279/", 1060884279)</f>
        <v>1060884279</v>
      </c>
      <c r="E2994" s="3">
        <v>36093.1</v>
      </c>
    </row>
    <row r="2995" spans="1:5" x14ac:dyDescent="0.25">
      <c r="A2995" s="3" t="s">
        <v>5</v>
      </c>
      <c r="B2995" s="3" t="s">
        <v>748</v>
      </c>
      <c r="C2995" s="3" t="s">
        <v>123</v>
      </c>
      <c r="D2995" s="4">
        <f>HYPERLINK("https://cao.dolgi.msk.ru/account/1060859583/", 1060859583)</f>
        <v>1060859583</v>
      </c>
      <c r="E2995" s="3">
        <v>32817.339999999997</v>
      </c>
    </row>
    <row r="2996" spans="1:5" x14ac:dyDescent="0.25">
      <c r="A2996" s="3" t="s">
        <v>5</v>
      </c>
      <c r="B2996" s="3" t="s">
        <v>748</v>
      </c>
      <c r="C2996" s="3" t="s">
        <v>124</v>
      </c>
      <c r="D2996" s="4">
        <f>HYPERLINK("https://cao.dolgi.msk.ru/account/1060868607/", 1060868607)</f>
        <v>1060868607</v>
      </c>
      <c r="E2996" s="3">
        <v>63184.67</v>
      </c>
    </row>
    <row r="2997" spans="1:5" x14ac:dyDescent="0.25">
      <c r="A2997" s="3" t="s">
        <v>5</v>
      </c>
      <c r="B2997" s="3" t="s">
        <v>748</v>
      </c>
      <c r="C2997" s="3" t="s">
        <v>126</v>
      </c>
      <c r="D2997" s="4">
        <f>HYPERLINK("https://cao.dolgi.msk.ru/account/1060868586/", 1060868586)</f>
        <v>1060868586</v>
      </c>
      <c r="E2997" s="3">
        <v>62816.2</v>
      </c>
    </row>
    <row r="2998" spans="1:5" x14ac:dyDescent="0.25">
      <c r="A2998" s="3" t="s">
        <v>5</v>
      </c>
      <c r="B2998" s="3" t="s">
        <v>748</v>
      </c>
      <c r="C2998" s="3" t="s">
        <v>302</v>
      </c>
      <c r="D2998" s="4">
        <f>HYPERLINK("https://cao.dolgi.msk.ru/account/1060868594/", 1060868594)</f>
        <v>1060868594</v>
      </c>
      <c r="E2998" s="3">
        <v>63033.27</v>
      </c>
    </row>
    <row r="2999" spans="1:5" x14ac:dyDescent="0.25">
      <c r="A2999" s="3" t="s">
        <v>5</v>
      </c>
      <c r="B2999" s="3" t="s">
        <v>748</v>
      </c>
      <c r="C2999" s="3" t="s">
        <v>309</v>
      </c>
      <c r="D2999" s="4">
        <f>HYPERLINK("https://cao.dolgi.msk.ru/account/1060862213/", 1060862213)</f>
        <v>1060862213</v>
      </c>
      <c r="E2999" s="3">
        <v>9109.7099999999991</v>
      </c>
    </row>
    <row r="3000" spans="1:5" x14ac:dyDescent="0.25">
      <c r="A3000" s="3" t="s">
        <v>5</v>
      </c>
      <c r="B3000" s="3" t="s">
        <v>748</v>
      </c>
      <c r="C3000" s="3" t="s">
        <v>311</v>
      </c>
      <c r="D3000" s="4">
        <f>HYPERLINK("https://cao.dolgi.msk.ru/account/1060862715/", 1060862715)</f>
        <v>1060862715</v>
      </c>
      <c r="E3000" s="3">
        <v>40038.11</v>
      </c>
    </row>
    <row r="3001" spans="1:5" x14ac:dyDescent="0.25">
      <c r="A3001" s="3" t="s">
        <v>5</v>
      </c>
      <c r="B3001" s="3" t="s">
        <v>748</v>
      </c>
      <c r="C3001" s="3" t="s">
        <v>317</v>
      </c>
      <c r="D3001" s="4">
        <f>HYPERLINK("https://cao.dolgi.msk.ru/account/1060895138/", 1060895138)</f>
        <v>1060895138</v>
      </c>
      <c r="E3001" s="3">
        <v>76554.27</v>
      </c>
    </row>
    <row r="3002" spans="1:5" x14ac:dyDescent="0.25">
      <c r="A3002" s="3" t="s">
        <v>5</v>
      </c>
      <c r="B3002" s="3" t="s">
        <v>749</v>
      </c>
      <c r="C3002" s="3" t="s">
        <v>89</v>
      </c>
      <c r="D3002" s="4">
        <f>HYPERLINK("https://cao.dolgi.msk.ru/account/1060254496/", 1060254496)</f>
        <v>1060254496</v>
      </c>
      <c r="E3002" s="3">
        <v>3535.86</v>
      </c>
    </row>
    <row r="3003" spans="1:5" x14ac:dyDescent="0.25">
      <c r="A3003" s="3" t="s">
        <v>5</v>
      </c>
      <c r="B3003" s="3" t="s">
        <v>749</v>
      </c>
      <c r="C3003" s="3" t="s">
        <v>140</v>
      </c>
      <c r="D3003" s="4">
        <f>HYPERLINK("https://cao.dolgi.msk.ru/account/1060254621/", 1060254621)</f>
        <v>1060254621</v>
      </c>
      <c r="E3003" s="3">
        <v>9394.32</v>
      </c>
    </row>
    <row r="3004" spans="1:5" x14ac:dyDescent="0.25">
      <c r="A3004" s="3" t="s">
        <v>5</v>
      </c>
      <c r="B3004" s="3" t="s">
        <v>749</v>
      </c>
      <c r="C3004" s="3" t="s">
        <v>143</v>
      </c>
      <c r="D3004" s="4">
        <f>HYPERLINK("https://cao.dolgi.msk.ru/account/1060254672/", 1060254672)</f>
        <v>1060254672</v>
      </c>
      <c r="E3004" s="3">
        <v>6234.54</v>
      </c>
    </row>
    <row r="3005" spans="1:5" x14ac:dyDescent="0.25">
      <c r="A3005" s="3" t="s">
        <v>5</v>
      </c>
      <c r="B3005" s="3" t="s">
        <v>749</v>
      </c>
      <c r="C3005" s="3" t="s">
        <v>24</v>
      </c>
      <c r="D3005" s="4">
        <f>HYPERLINK("https://cao.dolgi.msk.ru/account/1060254891/", 1060254891)</f>
        <v>1060254891</v>
      </c>
      <c r="E3005" s="3">
        <v>81235.55</v>
      </c>
    </row>
    <row r="3006" spans="1:5" x14ac:dyDescent="0.25">
      <c r="A3006" s="3" t="s">
        <v>5</v>
      </c>
      <c r="B3006" s="3" t="s">
        <v>749</v>
      </c>
      <c r="C3006" s="3" t="s">
        <v>26</v>
      </c>
      <c r="D3006" s="4">
        <f>HYPERLINK("https://cao.dolgi.msk.ru/account/1060254912/", 1060254912)</f>
        <v>1060254912</v>
      </c>
      <c r="E3006" s="3">
        <v>5999.46</v>
      </c>
    </row>
    <row r="3007" spans="1:5" x14ac:dyDescent="0.25">
      <c r="A3007" s="3" t="s">
        <v>5</v>
      </c>
      <c r="B3007" s="3" t="s">
        <v>749</v>
      </c>
      <c r="C3007" s="3" t="s">
        <v>31</v>
      </c>
      <c r="D3007" s="4">
        <f>HYPERLINK("https://cao.dolgi.msk.ru/account/1060254963/", 1060254963)</f>
        <v>1060254963</v>
      </c>
      <c r="E3007" s="3">
        <v>8456.15</v>
      </c>
    </row>
    <row r="3008" spans="1:5" x14ac:dyDescent="0.25">
      <c r="A3008" s="3" t="s">
        <v>5</v>
      </c>
      <c r="B3008" s="3" t="s">
        <v>750</v>
      </c>
      <c r="C3008" s="3" t="s">
        <v>105</v>
      </c>
      <c r="D3008" s="4">
        <f>HYPERLINK("https://cao.dolgi.msk.ru/account/1060610147/", 1060610147)</f>
        <v>1060610147</v>
      </c>
      <c r="E3008" s="3">
        <v>17623.080000000002</v>
      </c>
    </row>
    <row r="3009" spans="1:5" x14ac:dyDescent="0.25">
      <c r="A3009" s="3" t="s">
        <v>5</v>
      </c>
      <c r="B3009" s="3" t="s">
        <v>750</v>
      </c>
      <c r="C3009" s="3" t="s">
        <v>134</v>
      </c>
      <c r="D3009" s="4">
        <f>HYPERLINK("https://cao.dolgi.msk.ru/account/1060610227/", 1060610227)</f>
        <v>1060610227</v>
      </c>
      <c r="E3009" s="3">
        <v>11027.95</v>
      </c>
    </row>
    <row r="3010" spans="1:5" x14ac:dyDescent="0.25">
      <c r="A3010" s="3" t="s">
        <v>5</v>
      </c>
      <c r="B3010" s="3" t="s">
        <v>750</v>
      </c>
      <c r="C3010" s="3" t="s">
        <v>134</v>
      </c>
      <c r="D3010" s="4">
        <f>HYPERLINK("https://cao.dolgi.msk.ru/account/1060853835/", 1060853835)</f>
        <v>1060853835</v>
      </c>
      <c r="E3010" s="3">
        <v>5722.6</v>
      </c>
    </row>
    <row r="3011" spans="1:5" x14ac:dyDescent="0.25">
      <c r="A3011" s="3" t="s">
        <v>5</v>
      </c>
      <c r="B3011" s="3" t="s">
        <v>750</v>
      </c>
      <c r="C3011" s="3" t="s">
        <v>141</v>
      </c>
      <c r="D3011" s="4">
        <f>HYPERLINK("https://cao.dolgi.msk.ru/account/1060610382/", 1060610382)</f>
        <v>1060610382</v>
      </c>
      <c r="E3011" s="3">
        <v>5390.45</v>
      </c>
    </row>
    <row r="3012" spans="1:5" x14ac:dyDescent="0.25">
      <c r="A3012" s="3" t="s">
        <v>5</v>
      </c>
      <c r="B3012" s="3" t="s">
        <v>750</v>
      </c>
      <c r="C3012" s="3" t="s">
        <v>143</v>
      </c>
      <c r="D3012" s="4">
        <f>HYPERLINK("https://cao.dolgi.msk.ru/account/1060610454/", 1060610454)</f>
        <v>1060610454</v>
      </c>
      <c r="E3012" s="3">
        <v>16295.31</v>
      </c>
    </row>
    <row r="3013" spans="1:5" x14ac:dyDescent="0.25">
      <c r="A3013" s="3" t="s">
        <v>5</v>
      </c>
      <c r="B3013" s="3" t="s">
        <v>750</v>
      </c>
      <c r="C3013" s="3" t="s">
        <v>13</v>
      </c>
      <c r="D3013" s="4">
        <f>HYPERLINK("https://cao.dolgi.msk.ru/account/1060610489/", 1060610489)</f>
        <v>1060610489</v>
      </c>
      <c r="E3013" s="3">
        <v>5526.78</v>
      </c>
    </row>
    <row r="3014" spans="1:5" x14ac:dyDescent="0.25">
      <c r="A3014" s="3" t="s">
        <v>5</v>
      </c>
      <c r="B3014" s="3" t="s">
        <v>750</v>
      </c>
      <c r="C3014" s="3" t="s">
        <v>17</v>
      </c>
      <c r="D3014" s="4">
        <f>HYPERLINK("https://cao.dolgi.msk.ru/account/1060610614/", 1060610614)</f>
        <v>1060610614</v>
      </c>
      <c r="E3014" s="3">
        <v>22799.29</v>
      </c>
    </row>
    <row r="3015" spans="1:5" x14ac:dyDescent="0.25">
      <c r="A3015" s="3" t="s">
        <v>5</v>
      </c>
      <c r="B3015" s="3" t="s">
        <v>750</v>
      </c>
      <c r="C3015" s="3" t="s">
        <v>18</v>
      </c>
      <c r="D3015" s="4">
        <f>HYPERLINK("https://cao.dolgi.msk.ru/account/1060610622/", 1060610622)</f>
        <v>1060610622</v>
      </c>
      <c r="E3015" s="3">
        <v>9759.52</v>
      </c>
    </row>
    <row r="3016" spans="1:5" x14ac:dyDescent="0.25">
      <c r="A3016" s="3" t="s">
        <v>5</v>
      </c>
      <c r="B3016" s="3" t="s">
        <v>750</v>
      </c>
      <c r="C3016" s="3" t="s">
        <v>18</v>
      </c>
      <c r="D3016" s="4">
        <f>HYPERLINK("https://cao.dolgi.msk.ru/account/1060610649/", 1060610649)</f>
        <v>1060610649</v>
      </c>
      <c r="E3016" s="3">
        <v>6593.86</v>
      </c>
    </row>
    <row r="3017" spans="1:5" x14ac:dyDescent="0.25">
      <c r="A3017" s="3" t="s">
        <v>5</v>
      </c>
      <c r="B3017" s="3" t="s">
        <v>751</v>
      </c>
      <c r="C3017" s="3" t="s">
        <v>8</v>
      </c>
      <c r="D3017" s="4">
        <f>HYPERLINK("https://cao.dolgi.msk.ru/account/1060625533/", 1060625533)</f>
        <v>1060625533</v>
      </c>
      <c r="E3017" s="3">
        <v>5109.7299999999996</v>
      </c>
    </row>
    <row r="3018" spans="1:5" x14ac:dyDescent="0.25">
      <c r="A3018" s="3" t="s">
        <v>5</v>
      </c>
      <c r="B3018" s="3" t="s">
        <v>752</v>
      </c>
      <c r="C3018" s="3" t="s">
        <v>138</v>
      </c>
      <c r="D3018" s="4">
        <f>HYPERLINK("https://cao.dolgi.msk.ru/account/1060612193/", 1060612193)</f>
        <v>1060612193</v>
      </c>
      <c r="E3018" s="3">
        <v>8859.73</v>
      </c>
    </row>
    <row r="3019" spans="1:5" x14ac:dyDescent="0.25">
      <c r="A3019" s="3" t="s">
        <v>5</v>
      </c>
      <c r="B3019" s="3" t="s">
        <v>752</v>
      </c>
      <c r="C3019" s="3" t="s">
        <v>7</v>
      </c>
      <c r="D3019" s="4">
        <f>HYPERLINK("https://cao.dolgi.msk.ru/account/1060612302/", 1060612302)</f>
        <v>1060612302</v>
      </c>
      <c r="E3019" s="3">
        <v>230708.91</v>
      </c>
    </row>
    <row r="3020" spans="1:5" x14ac:dyDescent="0.25">
      <c r="A3020" s="3" t="s">
        <v>5</v>
      </c>
      <c r="B3020" s="3" t="s">
        <v>752</v>
      </c>
      <c r="C3020" s="3" t="s">
        <v>23</v>
      </c>
      <c r="D3020" s="4">
        <f>HYPERLINK("https://cao.dolgi.msk.ru/account/1060612476/", 1060612476)</f>
        <v>1060612476</v>
      </c>
      <c r="E3020" s="3">
        <v>32168.79</v>
      </c>
    </row>
    <row r="3021" spans="1:5" x14ac:dyDescent="0.25">
      <c r="A3021" s="3" t="s">
        <v>5</v>
      </c>
      <c r="B3021" s="3" t="s">
        <v>752</v>
      </c>
      <c r="C3021" s="3" t="s">
        <v>33</v>
      </c>
      <c r="D3021" s="4">
        <f>HYPERLINK("https://cao.dolgi.msk.ru/account/1060612572/", 1060612572)</f>
        <v>1060612572</v>
      </c>
      <c r="E3021" s="3">
        <v>106325.37</v>
      </c>
    </row>
    <row r="3022" spans="1:5" x14ac:dyDescent="0.25">
      <c r="A3022" s="3" t="s">
        <v>5</v>
      </c>
      <c r="B3022" s="3" t="s">
        <v>753</v>
      </c>
      <c r="C3022" s="3" t="s">
        <v>105</v>
      </c>
      <c r="D3022" s="4">
        <f>HYPERLINK("https://cao.dolgi.msk.ru/account/1060743011/", 1060743011)</f>
        <v>1060743011</v>
      </c>
      <c r="E3022" s="3">
        <v>284341.31</v>
      </c>
    </row>
    <row r="3023" spans="1:5" x14ac:dyDescent="0.25">
      <c r="A3023" s="3" t="s">
        <v>5</v>
      </c>
      <c r="B3023" s="3" t="s">
        <v>753</v>
      </c>
      <c r="C3023" s="3" t="s">
        <v>105</v>
      </c>
      <c r="D3023" s="4">
        <f>HYPERLINK("https://cao.dolgi.msk.ru/account/1060743038/", 1060743038)</f>
        <v>1060743038</v>
      </c>
      <c r="E3023" s="3">
        <v>12092.41</v>
      </c>
    </row>
    <row r="3024" spans="1:5" x14ac:dyDescent="0.25">
      <c r="A3024" s="3" t="s">
        <v>5</v>
      </c>
      <c r="B3024" s="3" t="s">
        <v>753</v>
      </c>
      <c r="C3024" s="3" t="s">
        <v>137</v>
      </c>
      <c r="D3024" s="4">
        <f>HYPERLINK("https://cao.dolgi.msk.ru/account/1060743126/", 1060743126)</f>
        <v>1060743126</v>
      </c>
      <c r="E3024" s="3">
        <v>4236.3100000000004</v>
      </c>
    </row>
    <row r="3025" spans="1:5" x14ac:dyDescent="0.25">
      <c r="A3025" s="3" t="s">
        <v>5</v>
      </c>
      <c r="B3025" s="3" t="s">
        <v>753</v>
      </c>
      <c r="C3025" s="3" t="s">
        <v>29</v>
      </c>
      <c r="D3025" s="4">
        <f>HYPERLINK("https://cao.dolgi.msk.ru/account/1060743441/", 1060743441)</f>
        <v>1060743441</v>
      </c>
      <c r="E3025" s="3">
        <v>48890.62</v>
      </c>
    </row>
    <row r="3026" spans="1:5" x14ac:dyDescent="0.25">
      <c r="A3026" s="3" t="s">
        <v>5</v>
      </c>
      <c r="B3026" s="3" t="s">
        <v>753</v>
      </c>
      <c r="C3026" s="3" t="s">
        <v>39</v>
      </c>
      <c r="D3026" s="4">
        <f>HYPERLINK("https://cao.dolgi.msk.ru/account/1060743556/", 1060743556)</f>
        <v>1060743556</v>
      </c>
      <c r="E3026" s="3">
        <v>3254.65</v>
      </c>
    </row>
    <row r="3027" spans="1:5" x14ac:dyDescent="0.25">
      <c r="A3027" s="3" t="s">
        <v>5</v>
      </c>
      <c r="B3027" s="3" t="s">
        <v>753</v>
      </c>
      <c r="C3027" s="3" t="s">
        <v>54</v>
      </c>
      <c r="D3027" s="4">
        <f>HYPERLINK("https://cao.dolgi.msk.ru/account/1060743724/", 1060743724)</f>
        <v>1060743724</v>
      </c>
      <c r="E3027" s="3">
        <v>9086.64</v>
      </c>
    </row>
    <row r="3028" spans="1:5" x14ac:dyDescent="0.25">
      <c r="A3028" s="3" t="s">
        <v>5</v>
      </c>
      <c r="B3028" s="3" t="s">
        <v>753</v>
      </c>
      <c r="C3028" s="3" t="s">
        <v>78</v>
      </c>
      <c r="D3028" s="4">
        <f>HYPERLINK("https://cao.dolgi.msk.ru/account/1060743978/", 1060743978)</f>
        <v>1060743978</v>
      </c>
      <c r="E3028" s="3">
        <v>81131.66</v>
      </c>
    </row>
    <row r="3029" spans="1:5" x14ac:dyDescent="0.25">
      <c r="A3029" s="3" t="s">
        <v>5</v>
      </c>
      <c r="B3029" s="3" t="s">
        <v>753</v>
      </c>
      <c r="C3029" s="3" t="s">
        <v>146</v>
      </c>
      <c r="D3029" s="4">
        <f>HYPERLINK("https://cao.dolgi.msk.ru/account/1060744364/", 1060744364)</f>
        <v>1060744364</v>
      </c>
      <c r="E3029" s="3">
        <v>83099.710000000006</v>
      </c>
    </row>
    <row r="3030" spans="1:5" x14ac:dyDescent="0.25">
      <c r="A3030" s="3" t="s">
        <v>5</v>
      </c>
      <c r="B3030" s="3" t="s">
        <v>753</v>
      </c>
      <c r="C3030" s="3" t="s">
        <v>110</v>
      </c>
      <c r="D3030" s="4">
        <f>HYPERLINK("https://cao.dolgi.msk.ru/account/1060744372/", 1060744372)</f>
        <v>1060744372</v>
      </c>
      <c r="E3030" s="3">
        <v>18548.259999999998</v>
      </c>
    </row>
    <row r="3031" spans="1:5" x14ac:dyDescent="0.25">
      <c r="A3031" s="3" t="s">
        <v>5</v>
      </c>
      <c r="B3031" s="3" t="s">
        <v>753</v>
      </c>
      <c r="C3031" s="3" t="s">
        <v>161</v>
      </c>
      <c r="D3031" s="4">
        <f>HYPERLINK("https://cao.dolgi.msk.ru/account/1060744591/", 1060744591)</f>
        <v>1060744591</v>
      </c>
      <c r="E3031" s="3">
        <v>13375.63</v>
      </c>
    </row>
    <row r="3032" spans="1:5" x14ac:dyDescent="0.25">
      <c r="A3032" s="3" t="s">
        <v>5</v>
      </c>
      <c r="B3032" s="3" t="s">
        <v>753</v>
      </c>
      <c r="C3032" s="3" t="s">
        <v>167</v>
      </c>
      <c r="D3032" s="4">
        <f>HYPERLINK("https://cao.dolgi.msk.ru/account/1060744663/", 1060744663)</f>
        <v>1060744663</v>
      </c>
      <c r="E3032" s="3">
        <v>12158.81</v>
      </c>
    </row>
    <row r="3033" spans="1:5" x14ac:dyDescent="0.25">
      <c r="A3033" s="3" t="s">
        <v>5</v>
      </c>
      <c r="B3033" s="3" t="s">
        <v>754</v>
      </c>
      <c r="C3033" s="3" t="s">
        <v>36</v>
      </c>
      <c r="D3033" s="4">
        <f>HYPERLINK("https://cao.dolgi.msk.ru/account/1060745244/", 1060745244)</f>
        <v>1060745244</v>
      </c>
      <c r="E3033" s="3">
        <v>6177.85</v>
      </c>
    </row>
    <row r="3034" spans="1:5" x14ac:dyDescent="0.25">
      <c r="A3034" s="3" t="s">
        <v>5</v>
      </c>
      <c r="B3034" s="3" t="s">
        <v>754</v>
      </c>
      <c r="C3034" s="3" t="s">
        <v>72</v>
      </c>
      <c r="D3034" s="4">
        <f>HYPERLINK("https://cao.dolgi.msk.ru/account/1060745615/", 1060745615)</f>
        <v>1060745615</v>
      </c>
      <c r="E3034" s="3">
        <v>18294.84</v>
      </c>
    </row>
    <row r="3035" spans="1:5" x14ac:dyDescent="0.25">
      <c r="A3035" s="3" t="s">
        <v>5</v>
      </c>
      <c r="B3035" s="3" t="s">
        <v>755</v>
      </c>
      <c r="C3035" s="3" t="s">
        <v>31</v>
      </c>
      <c r="D3035" s="4">
        <f>HYPERLINK("https://cao.dolgi.msk.ru/account/1060749034/", 1060749034)</f>
        <v>1060749034</v>
      </c>
      <c r="E3035" s="3">
        <v>2966.98</v>
      </c>
    </row>
    <row r="3036" spans="1:5" x14ac:dyDescent="0.25">
      <c r="A3036" s="3" t="s">
        <v>5</v>
      </c>
      <c r="B3036" s="3" t="s">
        <v>755</v>
      </c>
      <c r="C3036" s="3" t="s">
        <v>49</v>
      </c>
      <c r="D3036" s="4">
        <f>HYPERLINK("https://cao.dolgi.msk.ru/account/1060749253/", 1060749253)</f>
        <v>1060749253</v>
      </c>
      <c r="E3036" s="3">
        <v>18195.43</v>
      </c>
    </row>
    <row r="3037" spans="1:5" x14ac:dyDescent="0.25">
      <c r="A3037" s="3" t="s">
        <v>5</v>
      </c>
      <c r="B3037" s="3" t="s">
        <v>755</v>
      </c>
      <c r="C3037" s="3" t="s">
        <v>53</v>
      </c>
      <c r="D3037" s="4">
        <f>HYPERLINK("https://cao.dolgi.msk.ru/account/1060749296/", 1060749296)</f>
        <v>1060749296</v>
      </c>
      <c r="E3037" s="3">
        <v>3998.1</v>
      </c>
    </row>
    <row r="3038" spans="1:5" x14ac:dyDescent="0.25">
      <c r="A3038" s="3" t="s">
        <v>5</v>
      </c>
      <c r="B3038" s="3" t="s">
        <v>755</v>
      </c>
      <c r="C3038" s="3" t="s">
        <v>60</v>
      </c>
      <c r="D3038" s="4">
        <f>HYPERLINK("https://cao.dolgi.msk.ru/account/1060749376/", 1060749376)</f>
        <v>1060749376</v>
      </c>
      <c r="E3038" s="3">
        <v>11061.07</v>
      </c>
    </row>
    <row r="3039" spans="1:5" x14ac:dyDescent="0.25">
      <c r="A3039" s="3" t="s">
        <v>5</v>
      </c>
      <c r="B3039" s="3" t="s">
        <v>755</v>
      </c>
      <c r="C3039" s="3" t="s">
        <v>64</v>
      </c>
      <c r="D3039" s="4">
        <f>HYPERLINK("https://cao.dolgi.msk.ru/account/1060749413/", 1060749413)</f>
        <v>1060749413</v>
      </c>
      <c r="E3039" s="3">
        <v>177189.03</v>
      </c>
    </row>
    <row r="3040" spans="1:5" x14ac:dyDescent="0.25">
      <c r="A3040" s="3" t="s">
        <v>5</v>
      </c>
      <c r="B3040" s="3" t="s">
        <v>755</v>
      </c>
      <c r="C3040" s="3" t="s">
        <v>72</v>
      </c>
      <c r="D3040" s="4">
        <f>HYPERLINK("https://cao.dolgi.msk.ru/account/1060749456/", 1060749456)</f>
        <v>1060749456</v>
      </c>
      <c r="E3040" s="3">
        <v>10406.530000000001</v>
      </c>
    </row>
    <row r="3041" spans="1:5" x14ac:dyDescent="0.25">
      <c r="A3041" s="3" t="s">
        <v>5</v>
      </c>
      <c r="B3041" s="3" t="s">
        <v>755</v>
      </c>
      <c r="C3041" s="3" t="s">
        <v>75</v>
      </c>
      <c r="D3041" s="4">
        <f>HYPERLINK("https://cao.dolgi.msk.ru/account/1060749499/", 1060749499)</f>
        <v>1060749499</v>
      </c>
      <c r="E3041" s="3">
        <v>15170.59</v>
      </c>
    </row>
    <row r="3042" spans="1:5" x14ac:dyDescent="0.25">
      <c r="A3042" s="3" t="s">
        <v>5</v>
      </c>
      <c r="B3042" s="3" t="s">
        <v>755</v>
      </c>
      <c r="C3042" s="3" t="s">
        <v>91</v>
      </c>
      <c r="D3042" s="4">
        <f>HYPERLINK("https://cao.dolgi.msk.ru/account/1060749675/", 1060749675)</f>
        <v>1060749675</v>
      </c>
      <c r="E3042" s="3">
        <v>18999.79</v>
      </c>
    </row>
    <row r="3043" spans="1:5" x14ac:dyDescent="0.25">
      <c r="A3043" s="3" t="s">
        <v>5</v>
      </c>
      <c r="B3043" s="3" t="s">
        <v>755</v>
      </c>
      <c r="C3043" s="3" t="s">
        <v>100</v>
      </c>
      <c r="D3043" s="4">
        <f>HYPERLINK("https://cao.dolgi.msk.ru/account/1060749763/", 1060749763)</f>
        <v>1060749763</v>
      </c>
      <c r="E3043" s="3">
        <v>9616.41</v>
      </c>
    </row>
    <row r="3044" spans="1:5" x14ac:dyDescent="0.25">
      <c r="A3044" s="3" t="s">
        <v>5</v>
      </c>
      <c r="B3044" s="3" t="s">
        <v>755</v>
      </c>
      <c r="C3044" s="3" t="s">
        <v>146</v>
      </c>
      <c r="D3044" s="4">
        <f>HYPERLINK("https://cao.dolgi.msk.ru/account/1060749827/", 1060749827)</f>
        <v>1060749827</v>
      </c>
      <c r="E3044" s="3">
        <v>26857.95</v>
      </c>
    </row>
    <row r="3045" spans="1:5" x14ac:dyDescent="0.25">
      <c r="A3045" s="3" t="s">
        <v>5</v>
      </c>
      <c r="B3045" s="3" t="s">
        <v>755</v>
      </c>
      <c r="C3045" s="3" t="s">
        <v>106</v>
      </c>
      <c r="D3045" s="4">
        <f>HYPERLINK("https://cao.dolgi.msk.ru/account/1060749878/", 1060749878)</f>
        <v>1060749878</v>
      </c>
      <c r="E3045" s="3">
        <v>10734.3</v>
      </c>
    </row>
    <row r="3046" spans="1:5" x14ac:dyDescent="0.25">
      <c r="A3046" s="3" t="s">
        <v>5</v>
      </c>
      <c r="B3046" s="3" t="s">
        <v>755</v>
      </c>
      <c r="C3046" s="3" t="s">
        <v>193</v>
      </c>
      <c r="D3046" s="4">
        <f>HYPERLINK("https://cao.dolgi.msk.ru/account/1060750537/", 1060750537)</f>
        <v>1060750537</v>
      </c>
      <c r="E3046" s="3">
        <v>15158.28</v>
      </c>
    </row>
    <row r="3047" spans="1:5" x14ac:dyDescent="0.25">
      <c r="A3047" s="3" t="s">
        <v>5</v>
      </c>
      <c r="B3047" s="3" t="s">
        <v>755</v>
      </c>
      <c r="C3047" s="3" t="s">
        <v>196</v>
      </c>
      <c r="D3047" s="4">
        <f>HYPERLINK("https://cao.dolgi.msk.ru/account/1060750561/", 1060750561)</f>
        <v>1060750561</v>
      </c>
      <c r="E3047" s="3">
        <v>43100.79</v>
      </c>
    </row>
    <row r="3048" spans="1:5" x14ac:dyDescent="0.25">
      <c r="A3048" s="3" t="s">
        <v>5</v>
      </c>
      <c r="B3048" s="3" t="s">
        <v>755</v>
      </c>
      <c r="C3048" s="3" t="s">
        <v>201</v>
      </c>
      <c r="D3048" s="4">
        <f>HYPERLINK("https://cao.dolgi.msk.ru/account/1060750625/", 1060750625)</f>
        <v>1060750625</v>
      </c>
      <c r="E3048" s="3">
        <v>17002.64</v>
      </c>
    </row>
    <row r="3049" spans="1:5" x14ac:dyDescent="0.25">
      <c r="A3049" s="3" t="s">
        <v>5</v>
      </c>
      <c r="B3049" s="3" t="s">
        <v>755</v>
      </c>
      <c r="C3049" s="3" t="s">
        <v>219</v>
      </c>
      <c r="D3049" s="4">
        <f>HYPERLINK("https://cao.dolgi.msk.ru/account/1060750799/", 1060750799)</f>
        <v>1060750799</v>
      </c>
      <c r="E3049" s="3">
        <v>8061.18</v>
      </c>
    </row>
    <row r="3050" spans="1:5" x14ac:dyDescent="0.25">
      <c r="A3050" s="3" t="s">
        <v>5</v>
      </c>
      <c r="B3050" s="3" t="s">
        <v>755</v>
      </c>
      <c r="C3050" s="3" t="s">
        <v>222</v>
      </c>
      <c r="D3050" s="4">
        <f>HYPERLINK("https://cao.dolgi.msk.ru/account/1060750836/", 1060750836)</f>
        <v>1060750836</v>
      </c>
      <c r="E3050" s="3">
        <v>19133.36</v>
      </c>
    </row>
    <row r="3051" spans="1:5" x14ac:dyDescent="0.25">
      <c r="A3051" s="3" t="s">
        <v>5</v>
      </c>
      <c r="B3051" s="3" t="s">
        <v>756</v>
      </c>
      <c r="C3051" s="3" t="s">
        <v>35</v>
      </c>
      <c r="D3051" s="4">
        <f>HYPERLINK("https://cao.dolgi.msk.ru/account/1060751724/", 1060751724)</f>
        <v>1060751724</v>
      </c>
      <c r="E3051" s="3">
        <v>6586.09</v>
      </c>
    </row>
    <row r="3052" spans="1:5" x14ac:dyDescent="0.25">
      <c r="A3052" s="3" t="s">
        <v>5</v>
      </c>
      <c r="B3052" s="3" t="s">
        <v>756</v>
      </c>
      <c r="C3052" s="3" t="s">
        <v>36</v>
      </c>
      <c r="D3052" s="4">
        <f>HYPERLINK("https://cao.dolgi.msk.ru/account/1060751732/", 1060751732)</f>
        <v>1060751732</v>
      </c>
      <c r="E3052" s="3">
        <v>11077.1</v>
      </c>
    </row>
    <row r="3053" spans="1:5" x14ac:dyDescent="0.25">
      <c r="A3053" s="3" t="s">
        <v>5</v>
      </c>
      <c r="B3053" s="3" t="s">
        <v>756</v>
      </c>
      <c r="C3053" s="3" t="s">
        <v>39</v>
      </c>
      <c r="D3053" s="4">
        <f>HYPERLINK("https://cao.dolgi.msk.ru/account/1060751775/", 1060751775)</f>
        <v>1060751775</v>
      </c>
      <c r="E3053" s="3">
        <v>3549.84</v>
      </c>
    </row>
    <row r="3054" spans="1:5" x14ac:dyDescent="0.25">
      <c r="A3054" s="3" t="s">
        <v>5</v>
      </c>
      <c r="B3054" s="3" t="s">
        <v>756</v>
      </c>
      <c r="C3054" s="3" t="s">
        <v>46</v>
      </c>
      <c r="D3054" s="4">
        <f>HYPERLINK("https://cao.dolgi.msk.ru/account/1060896659/", 1060896659)</f>
        <v>1060896659</v>
      </c>
      <c r="E3054" s="3">
        <v>12772.44</v>
      </c>
    </row>
    <row r="3055" spans="1:5" x14ac:dyDescent="0.25">
      <c r="A3055" s="3" t="s">
        <v>5</v>
      </c>
      <c r="B3055" s="3" t="s">
        <v>756</v>
      </c>
      <c r="C3055" s="3" t="s">
        <v>64</v>
      </c>
      <c r="D3055" s="4">
        <f>HYPERLINK("https://cao.dolgi.msk.ru/account/1060752145/", 1060752145)</f>
        <v>1060752145</v>
      </c>
      <c r="E3055" s="3">
        <v>6489.56</v>
      </c>
    </row>
    <row r="3056" spans="1:5" x14ac:dyDescent="0.25">
      <c r="A3056" s="3" t="s">
        <v>5</v>
      </c>
      <c r="B3056" s="3" t="s">
        <v>756</v>
      </c>
      <c r="C3056" s="3" t="s">
        <v>81</v>
      </c>
      <c r="D3056" s="4">
        <f>HYPERLINK("https://cao.dolgi.msk.ru/account/1060752284/", 1060752284)</f>
        <v>1060752284</v>
      </c>
      <c r="E3056" s="3">
        <v>16863.009999999998</v>
      </c>
    </row>
    <row r="3057" spans="1:5" x14ac:dyDescent="0.25">
      <c r="A3057" s="3" t="s">
        <v>5</v>
      </c>
      <c r="B3057" s="3" t="s">
        <v>756</v>
      </c>
      <c r="C3057" s="3" t="s">
        <v>88</v>
      </c>
      <c r="D3057" s="4">
        <f>HYPERLINK("https://cao.dolgi.msk.ru/account/1060752372/", 1060752372)</f>
        <v>1060752372</v>
      </c>
      <c r="E3057" s="3">
        <v>3781.92</v>
      </c>
    </row>
    <row r="3058" spans="1:5" x14ac:dyDescent="0.25">
      <c r="A3058" s="3" t="s">
        <v>5</v>
      </c>
      <c r="B3058" s="3" t="s">
        <v>756</v>
      </c>
      <c r="C3058" s="3" t="s">
        <v>92</v>
      </c>
      <c r="D3058" s="4">
        <f>HYPERLINK("https://cao.dolgi.msk.ru/account/1060752428/", 1060752428)</f>
        <v>1060752428</v>
      </c>
      <c r="E3058" s="3">
        <v>6325.92</v>
      </c>
    </row>
    <row r="3059" spans="1:5" x14ac:dyDescent="0.25">
      <c r="A3059" s="3" t="s">
        <v>5</v>
      </c>
      <c r="B3059" s="3" t="s">
        <v>756</v>
      </c>
      <c r="C3059" s="3" t="s">
        <v>95</v>
      </c>
      <c r="D3059" s="4">
        <f>HYPERLINK("https://cao.dolgi.msk.ru/account/1060752452/", 1060752452)</f>
        <v>1060752452</v>
      </c>
      <c r="E3059" s="3">
        <v>48203.96</v>
      </c>
    </row>
    <row r="3060" spans="1:5" x14ac:dyDescent="0.25">
      <c r="A3060" s="3" t="s">
        <v>5</v>
      </c>
      <c r="B3060" s="3" t="s">
        <v>756</v>
      </c>
      <c r="C3060" s="3" t="s">
        <v>103</v>
      </c>
      <c r="D3060" s="4">
        <f>HYPERLINK("https://cao.dolgi.msk.ru/account/1060752559/", 1060752559)</f>
        <v>1060752559</v>
      </c>
      <c r="E3060" s="3">
        <v>7853.67</v>
      </c>
    </row>
    <row r="3061" spans="1:5" x14ac:dyDescent="0.25">
      <c r="A3061" s="3" t="s">
        <v>5</v>
      </c>
      <c r="B3061" s="3" t="s">
        <v>756</v>
      </c>
      <c r="C3061" s="3" t="s">
        <v>104</v>
      </c>
      <c r="D3061" s="4">
        <f>HYPERLINK("https://cao.dolgi.msk.ru/account/1060752604/", 1060752604)</f>
        <v>1060752604</v>
      </c>
      <c r="E3061" s="3">
        <v>7020.82</v>
      </c>
    </row>
    <row r="3062" spans="1:5" x14ac:dyDescent="0.25">
      <c r="A3062" s="3" t="s">
        <v>5</v>
      </c>
      <c r="B3062" s="3" t="s">
        <v>756</v>
      </c>
      <c r="C3062" s="3" t="s">
        <v>106</v>
      </c>
      <c r="D3062" s="4">
        <f>HYPERLINK("https://cao.dolgi.msk.ru/account/1060752612/", 1060752612)</f>
        <v>1060752612</v>
      </c>
      <c r="E3062" s="3">
        <v>56861.82</v>
      </c>
    </row>
    <row r="3063" spans="1:5" x14ac:dyDescent="0.25">
      <c r="A3063" s="3" t="s">
        <v>5</v>
      </c>
      <c r="B3063" s="3" t="s">
        <v>756</v>
      </c>
      <c r="C3063" s="3" t="s">
        <v>114</v>
      </c>
      <c r="D3063" s="4">
        <f>HYPERLINK("https://cao.dolgi.msk.ru/account/1060752727/", 1060752727)</f>
        <v>1060752727</v>
      </c>
      <c r="E3063" s="3">
        <v>58939.44</v>
      </c>
    </row>
    <row r="3064" spans="1:5" x14ac:dyDescent="0.25">
      <c r="A3064" s="3" t="s">
        <v>5</v>
      </c>
      <c r="B3064" s="3" t="s">
        <v>756</v>
      </c>
      <c r="C3064" s="3" t="s">
        <v>172</v>
      </c>
      <c r="D3064" s="4">
        <f>HYPERLINK("https://cao.dolgi.msk.ru/account/1060753033/", 1060753033)</f>
        <v>1060753033</v>
      </c>
      <c r="E3064" s="3">
        <v>6188.98</v>
      </c>
    </row>
    <row r="3065" spans="1:5" x14ac:dyDescent="0.25">
      <c r="A3065" s="3" t="s">
        <v>5</v>
      </c>
      <c r="B3065" s="3" t="s">
        <v>756</v>
      </c>
      <c r="C3065" s="3" t="s">
        <v>200</v>
      </c>
      <c r="D3065" s="4">
        <f>HYPERLINK("https://cao.dolgi.msk.ru/account/1060753367/", 1060753367)</f>
        <v>1060753367</v>
      </c>
      <c r="E3065" s="3">
        <v>22890.19</v>
      </c>
    </row>
    <row r="3066" spans="1:5" x14ac:dyDescent="0.25">
      <c r="A3066" s="3" t="s">
        <v>5</v>
      </c>
      <c r="B3066" s="3" t="s">
        <v>756</v>
      </c>
      <c r="C3066" s="3" t="s">
        <v>214</v>
      </c>
      <c r="D3066" s="4">
        <f>HYPERLINK("https://cao.dolgi.msk.ru/account/1060753471/", 1060753471)</f>
        <v>1060753471</v>
      </c>
      <c r="E3066" s="3">
        <v>7538.05</v>
      </c>
    </row>
    <row r="3067" spans="1:5" x14ac:dyDescent="0.25">
      <c r="A3067" s="3" t="s">
        <v>5</v>
      </c>
      <c r="B3067" s="3" t="s">
        <v>756</v>
      </c>
      <c r="C3067" s="3" t="s">
        <v>221</v>
      </c>
      <c r="D3067" s="4">
        <f>HYPERLINK("https://cao.dolgi.msk.ru/account/1060753586/", 1060753586)</f>
        <v>1060753586</v>
      </c>
      <c r="E3067" s="3">
        <v>4330.3999999999996</v>
      </c>
    </row>
    <row r="3068" spans="1:5" x14ac:dyDescent="0.25">
      <c r="A3068" s="3" t="s">
        <v>5</v>
      </c>
      <c r="B3068" s="3" t="s">
        <v>756</v>
      </c>
      <c r="C3068" s="3" t="s">
        <v>228</v>
      </c>
      <c r="D3068" s="4">
        <f>HYPERLINK("https://cao.dolgi.msk.ru/account/1060753674/", 1060753674)</f>
        <v>1060753674</v>
      </c>
      <c r="E3068" s="3">
        <v>5168.3100000000004</v>
      </c>
    </row>
    <row r="3069" spans="1:5" x14ac:dyDescent="0.25">
      <c r="A3069" s="3" t="s">
        <v>5</v>
      </c>
      <c r="B3069" s="3" t="s">
        <v>756</v>
      </c>
      <c r="C3069" s="3" t="s">
        <v>229</v>
      </c>
      <c r="D3069" s="4">
        <f>HYPERLINK("https://cao.dolgi.msk.ru/account/1060753682/", 1060753682)</f>
        <v>1060753682</v>
      </c>
      <c r="E3069" s="3">
        <v>4515.3</v>
      </c>
    </row>
    <row r="3070" spans="1:5" x14ac:dyDescent="0.25">
      <c r="A3070" s="3" t="s">
        <v>5</v>
      </c>
      <c r="B3070" s="3" t="s">
        <v>756</v>
      </c>
      <c r="C3070" s="3" t="s">
        <v>241</v>
      </c>
      <c r="D3070" s="4">
        <f>HYPERLINK("https://cao.dolgi.msk.ru/account/1060753869/", 1060753869)</f>
        <v>1060753869</v>
      </c>
      <c r="E3070" s="3">
        <v>5501.23</v>
      </c>
    </row>
    <row r="3071" spans="1:5" x14ac:dyDescent="0.25">
      <c r="A3071" s="3" t="s">
        <v>5</v>
      </c>
      <c r="B3071" s="3" t="s">
        <v>757</v>
      </c>
      <c r="C3071" s="3" t="s">
        <v>51</v>
      </c>
      <c r="D3071" s="4">
        <f>HYPERLINK("https://cao.dolgi.msk.ru/account/1060755178/", 1060755178)</f>
        <v>1060755178</v>
      </c>
      <c r="E3071" s="3">
        <v>14525.14</v>
      </c>
    </row>
    <row r="3072" spans="1:5" x14ac:dyDescent="0.25">
      <c r="A3072" s="3" t="s">
        <v>5</v>
      </c>
      <c r="B3072" s="3" t="s">
        <v>757</v>
      </c>
      <c r="C3072" s="3" t="s">
        <v>143</v>
      </c>
      <c r="D3072" s="4">
        <f>HYPERLINK("https://cao.dolgi.msk.ru/account/1060755418/", 1060755418)</f>
        <v>1060755418</v>
      </c>
      <c r="E3072" s="3">
        <v>19623.080000000002</v>
      </c>
    </row>
    <row r="3073" spans="1:5" x14ac:dyDescent="0.25">
      <c r="A3073" s="3" t="s">
        <v>5</v>
      </c>
      <c r="B3073" s="3" t="s">
        <v>757</v>
      </c>
      <c r="C3073" s="3" t="s">
        <v>21</v>
      </c>
      <c r="D3073" s="4">
        <f>HYPERLINK("https://cao.dolgi.msk.ru/account/1060755557/", 1060755557)</f>
        <v>1060755557</v>
      </c>
      <c r="E3073" s="3">
        <v>6888.86</v>
      </c>
    </row>
    <row r="3074" spans="1:5" x14ac:dyDescent="0.25">
      <c r="A3074" s="3" t="s">
        <v>5</v>
      </c>
      <c r="B3074" s="3" t="s">
        <v>757</v>
      </c>
      <c r="C3074" s="3" t="s">
        <v>40</v>
      </c>
      <c r="D3074" s="4">
        <f>HYPERLINK("https://cao.dolgi.msk.ru/account/1060755776/", 1060755776)</f>
        <v>1060755776</v>
      </c>
      <c r="E3074" s="3">
        <v>214757.08</v>
      </c>
    </row>
    <row r="3075" spans="1:5" x14ac:dyDescent="0.25">
      <c r="A3075" s="3" t="s">
        <v>5</v>
      </c>
      <c r="B3075" s="3" t="s">
        <v>757</v>
      </c>
      <c r="C3075" s="3" t="s">
        <v>164</v>
      </c>
      <c r="D3075" s="4">
        <f>HYPERLINK("https://cao.dolgi.msk.ru/account/1060756867/", 1060756867)</f>
        <v>1060756867</v>
      </c>
      <c r="E3075" s="3">
        <v>154101.14000000001</v>
      </c>
    </row>
    <row r="3076" spans="1:5" x14ac:dyDescent="0.25">
      <c r="A3076" s="3" t="s">
        <v>5</v>
      </c>
      <c r="B3076" s="3" t="s">
        <v>757</v>
      </c>
      <c r="C3076" s="3" t="s">
        <v>169</v>
      </c>
      <c r="D3076" s="4">
        <f>HYPERLINK("https://cao.dolgi.msk.ru/account/1060888042/", 1060888042)</f>
        <v>1060888042</v>
      </c>
      <c r="E3076" s="3">
        <v>4008.78</v>
      </c>
    </row>
    <row r="3077" spans="1:5" x14ac:dyDescent="0.25">
      <c r="A3077" s="3" t="s">
        <v>5</v>
      </c>
      <c r="B3077" s="3" t="s">
        <v>757</v>
      </c>
      <c r="C3077" s="3" t="s">
        <v>171</v>
      </c>
      <c r="D3077" s="4">
        <f>HYPERLINK("https://cao.dolgi.msk.ru/account/1060859479/", 1060859479)</f>
        <v>1060859479</v>
      </c>
      <c r="E3077" s="3">
        <v>36948.71</v>
      </c>
    </row>
    <row r="3078" spans="1:5" x14ac:dyDescent="0.25">
      <c r="A3078" s="3" t="s">
        <v>5</v>
      </c>
      <c r="B3078" s="3" t="s">
        <v>758</v>
      </c>
      <c r="C3078" s="3" t="s">
        <v>137</v>
      </c>
      <c r="D3078" s="4">
        <f>HYPERLINK("https://cao.dolgi.msk.ru/account/1060100155/", 1060100155)</f>
        <v>1060100155</v>
      </c>
      <c r="E3078" s="3">
        <v>4177.1099999999997</v>
      </c>
    </row>
    <row r="3079" spans="1:5" x14ac:dyDescent="0.25">
      <c r="A3079" s="3" t="s">
        <v>5</v>
      </c>
      <c r="B3079" s="3" t="s">
        <v>758</v>
      </c>
      <c r="C3079" s="3" t="s">
        <v>25</v>
      </c>
      <c r="D3079" s="4">
        <f>HYPERLINK("https://cao.dolgi.msk.ru/account/1060100446/", 1060100446)</f>
        <v>1060100446</v>
      </c>
      <c r="E3079" s="3">
        <v>350600.67</v>
      </c>
    </row>
    <row r="3080" spans="1:5" x14ac:dyDescent="0.25">
      <c r="A3080" s="3" t="s">
        <v>5</v>
      </c>
      <c r="B3080" s="3" t="s">
        <v>758</v>
      </c>
      <c r="C3080" s="3" t="s">
        <v>41</v>
      </c>
      <c r="D3080" s="4">
        <f>HYPERLINK("https://cao.dolgi.msk.ru/account/1060100622/", 1060100622)</f>
        <v>1060100622</v>
      </c>
      <c r="E3080" s="3">
        <v>126758.6</v>
      </c>
    </row>
    <row r="3081" spans="1:5" x14ac:dyDescent="0.25">
      <c r="A3081" s="3" t="s">
        <v>5</v>
      </c>
      <c r="B3081" s="3" t="s">
        <v>758</v>
      </c>
      <c r="C3081" s="3" t="s">
        <v>64</v>
      </c>
      <c r="D3081" s="4">
        <f>HYPERLINK("https://cao.dolgi.msk.ru/account/1060877116/", 1060877116)</f>
        <v>1060877116</v>
      </c>
      <c r="E3081" s="3">
        <v>1659.4</v>
      </c>
    </row>
    <row r="3082" spans="1:5" x14ac:dyDescent="0.25">
      <c r="A3082" s="3" t="s">
        <v>5</v>
      </c>
      <c r="B3082" s="3" t="s">
        <v>758</v>
      </c>
      <c r="C3082" s="3" t="s">
        <v>64</v>
      </c>
      <c r="D3082" s="4">
        <f>HYPERLINK("https://cao.dolgi.msk.ru/account/1060886266/", 1060886266)</f>
        <v>1060886266</v>
      </c>
      <c r="E3082" s="3">
        <v>1373.34</v>
      </c>
    </row>
    <row r="3083" spans="1:5" x14ac:dyDescent="0.25">
      <c r="A3083" s="3" t="s">
        <v>5</v>
      </c>
      <c r="B3083" s="3" t="s">
        <v>758</v>
      </c>
      <c r="C3083" s="3" t="s">
        <v>64</v>
      </c>
      <c r="D3083" s="4">
        <f>HYPERLINK("https://cao.dolgi.msk.ru/account/1069148374/", 1069148374)</f>
        <v>1069148374</v>
      </c>
      <c r="E3083" s="3">
        <v>225309.27</v>
      </c>
    </row>
    <row r="3084" spans="1:5" x14ac:dyDescent="0.25">
      <c r="A3084" s="3" t="s">
        <v>5</v>
      </c>
      <c r="B3084" s="3" t="s">
        <v>758</v>
      </c>
      <c r="C3084" s="3" t="s">
        <v>84</v>
      </c>
      <c r="D3084" s="4">
        <f>HYPERLINK("https://cao.dolgi.msk.ru/account/1060101094/", 1060101094)</f>
        <v>1060101094</v>
      </c>
      <c r="E3084" s="3">
        <v>19935.22</v>
      </c>
    </row>
    <row r="3085" spans="1:5" x14ac:dyDescent="0.25">
      <c r="A3085" s="3" t="s">
        <v>5</v>
      </c>
      <c r="B3085" s="3" t="s">
        <v>758</v>
      </c>
      <c r="C3085" s="3" t="s">
        <v>94</v>
      </c>
      <c r="D3085" s="4">
        <f>HYPERLINK("https://cao.dolgi.msk.ru/account/1060101211/", 1060101211)</f>
        <v>1060101211</v>
      </c>
      <c r="E3085" s="3">
        <v>156523.12</v>
      </c>
    </row>
    <row r="3086" spans="1:5" x14ac:dyDescent="0.25">
      <c r="A3086" s="3" t="s">
        <v>5</v>
      </c>
      <c r="B3086" s="3" t="s">
        <v>758</v>
      </c>
      <c r="C3086" s="3" t="s">
        <v>96</v>
      </c>
      <c r="D3086" s="4">
        <f>HYPERLINK("https://cao.dolgi.msk.ru/account/1060888835/", 1060888835)</f>
        <v>1060888835</v>
      </c>
      <c r="E3086" s="3">
        <v>10219.280000000001</v>
      </c>
    </row>
    <row r="3087" spans="1:5" x14ac:dyDescent="0.25">
      <c r="A3087" s="3" t="s">
        <v>5</v>
      </c>
      <c r="B3087" s="3" t="s">
        <v>758</v>
      </c>
      <c r="C3087" s="3" t="s">
        <v>103</v>
      </c>
      <c r="D3087" s="4">
        <f>HYPERLINK("https://cao.dolgi.msk.ru/account/1060101334/", 1060101334)</f>
        <v>1060101334</v>
      </c>
      <c r="E3087" s="3">
        <v>7253.02</v>
      </c>
    </row>
    <row r="3088" spans="1:5" x14ac:dyDescent="0.25">
      <c r="A3088" s="3" t="s">
        <v>5</v>
      </c>
      <c r="B3088" s="3" t="s">
        <v>758</v>
      </c>
      <c r="C3088" s="3" t="s">
        <v>151</v>
      </c>
      <c r="D3088" s="4">
        <f>HYPERLINK("https://cao.dolgi.msk.ru/account/1060101561/", 1060101561)</f>
        <v>1060101561</v>
      </c>
      <c r="E3088" s="3">
        <v>4045.12</v>
      </c>
    </row>
    <row r="3089" spans="1:5" x14ac:dyDescent="0.25">
      <c r="A3089" s="3" t="s">
        <v>5</v>
      </c>
      <c r="B3089" s="3" t="s">
        <v>758</v>
      </c>
      <c r="C3089" s="3" t="s">
        <v>162</v>
      </c>
      <c r="D3089" s="4">
        <f>HYPERLINK("https://cao.dolgi.msk.ru/account/1060101692/", 1060101692)</f>
        <v>1060101692</v>
      </c>
      <c r="E3089" s="3">
        <v>5628.42</v>
      </c>
    </row>
    <row r="3090" spans="1:5" x14ac:dyDescent="0.25">
      <c r="A3090" s="3" t="s">
        <v>5</v>
      </c>
      <c r="B3090" s="3" t="s">
        <v>758</v>
      </c>
      <c r="C3090" s="3" t="s">
        <v>179</v>
      </c>
      <c r="D3090" s="4">
        <f>HYPERLINK("https://cao.dolgi.msk.ru/account/1060101916/", 1060101916)</f>
        <v>1060101916</v>
      </c>
      <c r="E3090" s="3">
        <v>5353.48</v>
      </c>
    </row>
    <row r="3091" spans="1:5" x14ac:dyDescent="0.25">
      <c r="A3091" s="3" t="s">
        <v>5</v>
      </c>
      <c r="B3091" s="3" t="s">
        <v>758</v>
      </c>
      <c r="C3091" s="3" t="s">
        <v>181</v>
      </c>
      <c r="D3091" s="4">
        <f>HYPERLINK("https://cao.dolgi.msk.ru/account/1060101932/", 1060101932)</f>
        <v>1060101932</v>
      </c>
      <c r="E3091" s="3">
        <v>18315.580000000002</v>
      </c>
    </row>
    <row r="3092" spans="1:5" x14ac:dyDescent="0.25">
      <c r="A3092" s="3" t="s">
        <v>5</v>
      </c>
      <c r="B3092" s="3" t="s">
        <v>758</v>
      </c>
      <c r="C3092" s="3" t="s">
        <v>188</v>
      </c>
      <c r="D3092" s="4">
        <f>HYPERLINK("https://cao.dolgi.msk.ru/account/1060102011/", 1060102011)</f>
        <v>1060102011</v>
      </c>
      <c r="E3092" s="3">
        <v>78993.17</v>
      </c>
    </row>
    <row r="3093" spans="1:5" x14ac:dyDescent="0.25">
      <c r="A3093" s="3" t="s">
        <v>5</v>
      </c>
      <c r="B3093" s="3" t="s">
        <v>758</v>
      </c>
      <c r="C3093" s="3" t="s">
        <v>201</v>
      </c>
      <c r="D3093" s="4">
        <f>HYPERLINK("https://cao.dolgi.msk.ru/account/1060102193/", 1060102193)</f>
        <v>1060102193</v>
      </c>
      <c r="E3093" s="3">
        <v>474619.66</v>
      </c>
    </row>
    <row r="3094" spans="1:5" x14ac:dyDescent="0.25">
      <c r="A3094" s="3" t="s">
        <v>5</v>
      </c>
      <c r="B3094" s="3" t="s">
        <v>758</v>
      </c>
      <c r="C3094" s="3" t="s">
        <v>204</v>
      </c>
      <c r="D3094" s="4">
        <f>HYPERLINK("https://cao.dolgi.msk.ru/account/1060102222/", 1060102222)</f>
        <v>1060102222</v>
      </c>
      <c r="E3094" s="3">
        <v>16646.27</v>
      </c>
    </row>
    <row r="3095" spans="1:5" x14ac:dyDescent="0.25">
      <c r="A3095" s="3" t="s">
        <v>5</v>
      </c>
      <c r="B3095" s="3" t="s">
        <v>758</v>
      </c>
      <c r="C3095" s="3" t="s">
        <v>248</v>
      </c>
      <c r="D3095" s="4">
        <f>HYPERLINK("https://cao.dolgi.msk.ru/account/1060102732/", 1060102732)</f>
        <v>1060102732</v>
      </c>
      <c r="E3095" s="3">
        <v>13191.59</v>
      </c>
    </row>
    <row r="3096" spans="1:5" x14ac:dyDescent="0.25">
      <c r="A3096" s="3" t="s">
        <v>5</v>
      </c>
      <c r="B3096" s="3" t="s">
        <v>758</v>
      </c>
      <c r="C3096" s="3" t="s">
        <v>250</v>
      </c>
      <c r="D3096" s="4">
        <f>HYPERLINK("https://cao.dolgi.msk.ru/account/1060102767/", 1060102767)</f>
        <v>1060102767</v>
      </c>
      <c r="E3096" s="3">
        <v>74828.710000000006</v>
      </c>
    </row>
    <row r="3097" spans="1:5" x14ac:dyDescent="0.25">
      <c r="A3097" s="3" t="s">
        <v>5</v>
      </c>
      <c r="B3097" s="3" t="s">
        <v>758</v>
      </c>
      <c r="C3097" s="3" t="s">
        <v>300</v>
      </c>
      <c r="D3097" s="4">
        <f>HYPERLINK("https://cao.dolgi.msk.ru/account/1069109877/", 1069109877)</f>
        <v>1069109877</v>
      </c>
      <c r="E3097" s="3">
        <v>15335.56</v>
      </c>
    </row>
    <row r="3098" spans="1:5" x14ac:dyDescent="0.25">
      <c r="A3098" s="3" t="s">
        <v>5</v>
      </c>
      <c r="B3098" s="3" t="s">
        <v>759</v>
      </c>
      <c r="C3098" s="3" t="s">
        <v>19</v>
      </c>
      <c r="D3098" s="4">
        <f>HYPERLINK("https://cao.dolgi.msk.ru/account/1060113466/", 1060113466)</f>
        <v>1060113466</v>
      </c>
      <c r="E3098" s="3">
        <v>15549.23</v>
      </c>
    </row>
    <row r="3099" spans="1:5" x14ac:dyDescent="0.25">
      <c r="A3099" s="3" t="s">
        <v>5</v>
      </c>
      <c r="B3099" s="3" t="s">
        <v>759</v>
      </c>
      <c r="C3099" s="3" t="s">
        <v>26</v>
      </c>
      <c r="D3099" s="4">
        <f>HYPERLINK("https://cao.dolgi.msk.ru/account/1060113618/", 1060113618)</f>
        <v>1060113618</v>
      </c>
      <c r="E3099" s="3">
        <v>12843.53</v>
      </c>
    </row>
    <row r="3100" spans="1:5" x14ac:dyDescent="0.25">
      <c r="A3100" s="3" t="s">
        <v>5</v>
      </c>
      <c r="B3100" s="3" t="s">
        <v>759</v>
      </c>
      <c r="C3100" s="3" t="s">
        <v>31</v>
      </c>
      <c r="D3100" s="4">
        <f>HYPERLINK("https://cao.dolgi.msk.ru/account/1060113669/", 1060113669)</f>
        <v>1060113669</v>
      </c>
      <c r="E3100" s="3">
        <v>306090.57</v>
      </c>
    </row>
    <row r="3101" spans="1:5" x14ac:dyDescent="0.25">
      <c r="A3101" s="3" t="s">
        <v>5</v>
      </c>
      <c r="B3101" s="3" t="s">
        <v>760</v>
      </c>
      <c r="C3101" s="3" t="s">
        <v>142</v>
      </c>
      <c r="D3101" s="4">
        <f>HYPERLINK("https://cao.dolgi.msk.ru/account/1060113706/", 1060113706)</f>
        <v>1060113706</v>
      </c>
      <c r="E3101" s="3">
        <v>33814.86</v>
      </c>
    </row>
    <row r="3102" spans="1:5" x14ac:dyDescent="0.25">
      <c r="A3102" s="3" t="s">
        <v>5</v>
      </c>
      <c r="B3102" s="3" t="s">
        <v>760</v>
      </c>
      <c r="C3102" s="3" t="s">
        <v>7</v>
      </c>
      <c r="D3102" s="4">
        <f>HYPERLINK("https://cao.dolgi.msk.ru/account/1060113749/", 1060113749)</f>
        <v>1060113749</v>
      </c>
      <c r="E3102" s="3">
        <v>168867.76</v>
      </c>
    </row>
    <row r="3103" spans="1:5" x14ac:dyDescent="0.25">
      <c r="A3103" s="3" t="s">
        <v>5</v>
      </c>
      <c r="B3103" s="3" t="s">
        <v>760</v>
      </c>
      <c r="C3103" s="3" t="s">
        <v>11</v>
      </c>
      <c r="D3103" s="4">
        <f>HYPERLINK("https://cao.dolgi.msk.ru/account/1060113765/", 1060113765)</f>
        <v>1060113765</v>
      </c>
      <c r="E3103" s="3">
        <v>47982.23</v>
      </c>
    </row>
    <row r="3104" spans="1:5" x14ac:dyDescent="0.25">
      <c r="A3104" s="3" t="s">
        <v>5</v>
      </c>
      <c r="B3104" s="3" t="s">
        <v>760</v>
      </c>
      <c r="C3104" s="3" t="s">
        <v>14</v>
      </c>
      <c r="D3104" s="4">
        <f>HYPERLINK("https://cao.dolgi.msk.ru/account/1060113837/", 1060113837)</f>
        <v>1060113837</v>
      </c>
      <c r="E3104" s="3">
        <v>229960.06</v>
      </c>
    </row>
    <row r="3105" spans="1:5" x14ac:dyDescent="0.25">
      <c r="A3105" s="3" t="s">
        <v>5</v>
      </c>
      <c r="B3105" s="3" t="s">
        <v>760</v>
      </c>
      <c r="C3105" s="3" t="s">
        <v>16</v>
      </c>
      <c r="D3105" s="4">
        <f>HYPERLINK("https://cao.dolgi.msk.ru/account/1060113853/", 1060113853)</f>
        <v>1060113853</v>
      </c>
      <c r="E3105" s="3">
        <v>3059.07</v>
      </c>
    </row>
    <row r="3106" spans="1:5" x14ac:dyDescent="0.25">
      <c r="A3106" s="3" t="s">
        <v>5</v>
      </c>
      <c r="B3106" s="3" t="s">
        <v>760</v>
      </c>
      <c r="C3106" s="3" t="s">
        <v>18</v>
      </c>
      <c r="D3106" s="4">
        <f>HYPERLINK("https://cao.dolgi.msk.ru/account/1060113917/", 1060113917)</f>
        <v>1060113917</v>
      </c>
      <c r="E3106" s="3">
        <v>187318.47</v>
      </c>
    </row>
    <row r="3107" spans="1:5" x14ac:dyDescent="0.25">
      <c r="A3107" s="3" t="s">
        <v>5</v>
      </c>
      <c r="B3107" s="3" t="s">
        <v>760</v>
      </c>
      <c r="C3107" s="3" t="s">
        <v>32</v>
      </c>
      <c r="D3107" s="4">
        <f>HYPERLINK("https://cao.dolgi.msk.ru/account/1060114143/", 1060114143)</f>
        <v>1060114143</v>
      </c>
      <c r="E3107" s="3">
        <v>2906.5</v>
      </c>
    </row>
    <row r="3108" spans="1:5" x14ac:dyDescent="0.25">
      <c r="A3108" s="3" t="s">
        <v>5</v>
      </c>
      <c r="B3108" s="3" t="s">
        <v>760</v>
      </c>
      <c r="C3108" s="3" t="s">
        <v>35</v>
      </c>
      <c r="D3108" s="4">
        <f>HYPERLINK("https://cao.dolgi.msk.ru/account/1060772285/", 1060772285)</f>
        <v>1060772285</v>
      </c>
      <c r="E3108" s="3">
        <v>17389.46</v>
      </c>
    </row>
    <row r="3109" spans="1:5" x14ac:dyDescent="0.25">
      <c r="A3109" s="3" t="s">
        <v>5</v>
      </c>
      <c r="B3109" s="3" t="s">
        <v>760</v>
      </c>
      <c r="C3109" s="3" t="s">
        <v>41</v>
      </c>
      <c r="D3109" s="4">
        <f>HYPERLINK("https://cao.dolgi.msk.ru/account/1060114231/", 1060114231)</f>
        <v>1060114231</v>
      </c>
      <c r="E3109" s="3">
        <v>17353.45</v>
      </c>
    </row>
    <row r="3110" spans="1:5" x14ac:dyDescent="0.25">
      <c r="A3110" s="3" t="s">
        <v>5</v>
      </c>
      <c r="B3110" s="3" t="s">
        <v>760</v>
      </c>
      <c r="C3110" s="3" t="s">
        <v>49</v>
      </c>
      <c r="D3110" s="4">
        <f>HYPERLINK("https://cao.dolgi.msk.ru/account/1060114346/", 1060114346)</f>
        <v>1060114346</v>
      </c>
      <c r="E3110" s="3">
        <v>43650.35</v>
      </c>
    </row>
    <row r="3111" spans="1:5" x14ac:dyDescent="0.25">
      <c r="A3111" s="3" t="s">
        <v>5</v>
      </c>
      <c r="B3111" s="3" t="s">
        <v>761</v>
      </c>
      <c r="C3111" s="3" t="s">
        <v>133</v>
      </c>
      <c r="D3111" s="4">
        <f>HYPERLINK("https://cao.dolgi.msk.ru/account/1060890097/", 1060890097)</f>
        <v>1060890097</v>
      </c>
      <c r="E3111" s="3">
        <v>11651.62</v>
      </c>
    </row>
    <row r="3112" spans="1:5" x14ac:dyDescent="0.25">
      <c r="A3112" s="3" t="s">
        <v>5</v>
      </c>
      <c r="B3112" s="3" t="s">
        <v>761</v>
      </c>
      <c r="C3112" s="3" t="s">
        <v>135</v>
      </c>
      <c r="D3112" s="4">
        <f>HYPERLINK("https://cao.dolgi.msk.ru/account/1060890126/", 1060890126)</f>
        <v>1060890126</v>
      </c>
      <c r="E3112" s="3">
        <v>76578.78</v>
      </c>
    </row>
    <row r="3113" spans="1:5" x14ac:dyDescent="0.25">
      <c r="A3113" s="3" t="s">
        <v>5</v>
      </c>
      <c r="B3113" s="3" t="s">
        <v>761</v>
      </c>
      <c r="C3113" s="3" t="s">
        <v>136</v>
      </c>
      <c r="D3113" s="4">
        <f>HYPERLINK("https://cao.dolgi.msk.ru/account/1060890134/", 1060890134)</f>
        <v>1060890134</v>
      </c>
      <c r="E3113" s="3">
        <v>61214.34</v>
      </c>
    </row>
    <row r="3114" spans="1:5" x14ac:dyDescent="0.25">
      <c r="A3114" s="3" t="s">
        <v>5</v>
      </c>
      <c r="B3114" s="3" t="s">
        <v>761</v>
      </c>
      <c r="C3114" s="3" t="s">
        <v>137</v>
      </c>
      <c r="D3114" s="4">
        <f>HYPERLINK("https://cao.dolgi.msk.ru/account/1060890142/", 1060890142)</f>
        <v>1060890142</v>
      </c>
      <c r="E3114" s="3">
        <v>12971.62</v>
      </c>
    </row>
    <row r="3115" spans="1:5" x14ac:dyDescent="0.25">
      <c r="A3115" s="3" t="s">
        <v>5</v>
      </c>
      <c r="B3115" s="3" t="s">
        <v>761</v>
      </c>
      <c r="C3115" s="3" t="s">
        <v>138</v>
      </c>
      <c r="D3115" s="4">
        <f>HYPERLINK("https://cao.dolgi.msk.ru/account/1060890169/", 1060890169)</f>
        <v>1060890169</v>
      </c>
      <c r="E3115" s="3">
        <v>9250.15</v>
      </c>
    </row>
    <row r="3116" spans="1:5" x14ac:dyDescent="0.25">
      <c r="A3116" s="3" t="s">
        <v>5</v>
      </c>
      <c r="B3116" s="3" t="s">
        <v>761</v>
      </c>
      <c r="C3116" s="3" t="s">
        <v>139</v>
      </c>
      <c r="D3116" s="4">
        <f>HYPERLINK("https://cao.dolgi.msk.ru/account/1060890177/", 1060890177)</f>
        <v>1060890177</v>
      </c>
      <c r="E3116" s="3">
        <v>14177.93</v>
      </c>
    </row>
    <row r="3117" spans="1:5" x14ac:dyDescent="0.25">
      <c r="A3117" s="3" t="s">
        <v>5</v>
      </c>
      <c r="B3117" s="3" t="s">
        <v>761</v>
      </c>
      <c r="C3117" s="3" t="s">
        <v>141</v>
      </c>
      <c r="D3117" s="4">
        <f>HYPERLINK("https://cao.dolgi.msk.ru/account/1060890193/", 1060890193)</f>
        <v>1060890193</v>
      </c>
      <c r="E3117" s="3">
        <v>24230.66</v>
      </c>
    </row>
    <row r="3118" spans="1:5" x14ac:dyDescent="0.25">
      <c r="A3118" s="3" t="s">
        <v>5</v>
      </c>
      <c r="B3118" s="3" t="s">
        <v>761</v>
      </c>
      <c r="C3118" s="3" t="s">
        <v>142</v>
      </c>
      <c r="D3118" s="4">
        <f>HYPERLINK("https://cao.dolgi.msk.ru/account/1060890214/", 1060890214)</f>
        <v>1060890214</v>
      </c>
      <c r="E3118" s="3">
        <v>12811.56</v>
      </c>
    </row>
    <row r="3119" spans="1:5" x14ac:dyDescent="0.25">
      <c r="A3119" s="3" t="s">
        <v>5</v>
      </c>
      <c r="B3119" s="3" t="s">
        <v>761</v>
      </c>
      <c r="C3119" s="3" t="s">
        <v>7</v>
      </c>
      <c r="D3119" s="4">
        <f>HYPERLINK("https://cao.dolgi.msk.ru/account/1060890257/", 1060890257)</f>
        <v>1060890257</v>
      </c>
      <c r="E3119" s="3">
        <v>10713.38</v>
      </c>
    </row>
    <row r="3120" spans="1:5" x14ac:dyDescent="0.25">
      <c r="A3120" s="3" t="s">
        <v>5</v>
      </c>
      <c r="B3120" s="3" t="s">
        <v>761</v>
      </c>
      <c r="C3120" s="3" t="s">
        <v>11</v>
      </c>
      <c r="D3120" s="4">
        <f>HYPERLINK("https://cao.dolgi.msk.ru/account/1060890273/", 1060890273)</f>
        <v>1060890273</v>
      </c>
      <c r="E3120" s="3">
        <v>13801.1</v>
      </c>
    </row>
    <row r="3121" spans="1:5" x14ac:dyDescent="0.25">
      <c r="A3121" s="3" t="s">
        <v>5</v>
      </c>
      <c r="B3121" s="3" t="s">
        <v>762</v>
      </c>
      <c r="C3121" s="3" t="s">
        <v>51</v>
      </c>
      <c r="D3121" s="4">
        <f>HYPERLINK("https://cao.dolgi.msk.ru/account/1060853974/", 1060853974)</f>
        <v>1060853974</v>
      </c>
      <c r="E3121" s="3">
        <v>35091.040000000001</v>
      </c>
    </row>
    <row r="3122" spans="1:5" x14ac:dyDescent="0.25">
      <c r="A3122" s="3" t="s">
        <v>5</v>
      </c>
      <c r="B3122" s="3" t="s">
        <v>762</v>
      </c>
      <c r="C3122" s="3" t="s">
        <v>9</v>
      </c>
      <c r="D3122" s="4">
        <f>HYPERLINK("https://cao.dolgi.msk.ru/account/1060854029/", 1060854029)</f>
        <v>1060854029</v>
      </c>
      <c r="E3122" s="3">
        <v>101838.95</v>
      </c>
    </row>
    <row r="3123" spans="1:5" x14ac:dyDescent="0.25">
      <c r="A3123" s="3" t="s">
        <v>5</v>
      </c>
      <c r="B3123" s="3" t="s">
        <v>762</v>
      </c>
      <c r="C3123" s="3" t="s">
        <v>134</v>
      </c>
      <c r="D3123" s="4">
        <f>HYPERLINK("https://cao.dolgi.msk.ru/account/1060854475/", 1060854475)</f>
        <v>1060854475</v>
      </c>
      <c r="E3123" s="3">
        <v>22533.759999999998</v>
      </c>
    </row>
    <row r="3124" spans="1:5" x14ac:dyDescent="0.25">
      <c r="A3124" s="3" t="s">
        <v>5</v>
      </c>
      <c r="B3124" s="3" t="s">
        <v>762</v>
      </c>
      <c r="C3124" s="3" t="s">
        <v>135</v>
      </c>
      <c r="D3124" s="4">
        <f>HYPERLINK("https://cao.dolgi.msk.ru/account/1060854467/", 1060854467)</f>
        <v>1060854467</v>
      </c>
      <c r="E3124" s="3">
        <v>23500.48</v>
      </c>
    </row>
    <row r="3125" spans="1:5" x14ac:dyDescent="0.25">
      <c r="A3125" s="3" t="s">
        <v>5</v>
      </c>
      <c r="B3125" s="3" t="s">
        <v>762</v>
      </c>
      <c r="C3125" s="3" t="s">
        <v>137</v>
      </c>
      <c r="D3125" s="4">
        <f>HYPERLINK("https://cao.dolgi.msk.ru/account/1060854045/", 1060854045)</f>
        <v>1060854045</v>
      </c>
      <c r="E3125" s="3">
        <v>47114.68</v>
      </c>
    </row>
    <row r="3126" spans="1:5" x14ac:dyDescent="0.25">
      <c r="A3126" s="3" t="s">
        <v>5</v>
      </c>
      <c r="B3126" s="3" t="s">
        <v>762</v>
      </c>
      <c r="C3126" s="3" t="s">
        <v>16</v>
      </c>
      <c r="D3126" s="4">
        <f>HYPERLINK("https://cao.dolgi.msk.ru/account/1060854133/", 1060854133)</f>
        <v>1060854133</v>
      </c>
      <c r="E3126" s="3">
        <v>45827.18</v>
      </c>
    </row>
    <row r="3127" spans="1:5" x14ac:dyDescent="0.25">
      <c r="A3127" s="3" t="s">
        <v>5</v>
      </c>
      <c r="B3127" s="3" t="s">
        <v>762</v>
      </c>
      <c r="C3127" s="3" t="s">
        <v>22</v>
      </c>
      <c r="D3127" s="4">
        <f>HYPERLINK("https://cao.dolgi.msk.ru/account/1060854184/", 1060854184)</f>
        <v>1060854184</v>
      </c>
      <c r="E3127" s="3">
        <v>8680</v>
      </c>
    </row>
    <row r="3128" spans="1:5" x14ac:dyDescent="0.25">
      <c r="A3128" s="3" t="s">
        <v>5</v>
      </c>
      <c r="B3128" s="3" t="s">
        <v>762</v>
      </c>
      <c r="C3128" s="3" t="s">
        <v>37</v>
      </c>
      <c r="D3128" s="4">
        <f>HYPERLINK("https://cao.dolgi.msk.ru/account/1060854272/", 1060854272)</f>
        <v>1060854272</v>
      </c>
      <c r="E3128" s="3">
        <v>38680.050000000003</v>
      </c>
    </row>
    <row r="3129" spans="1:5" x14ac:dyDescent="0.25">
      <c r="A3129" s="3" t="s">
        <v>5</v>
      </c>
      <c r="B3129" s="3" t="s">
        <v>763</v>
      </c>
      <c r="C3129" s="3" t="s">
        <v>142</v>
      </c>
      <c r="D3129" s="4">
        <f>HYPERLINK("https://cao.dolgi.msk.ru/account/1060221213/", 1060221213)</f>
        <v>1060221213</v>
      </c>
      <c r="E3129" s="3">
        <v>10652.25</v>
      </c>
    </row>
    <row r="3130" spans="1:5" x14ac:dyDescent="0.25">
      <c r="A3130" s="3" t="s">
        <v>5</v>
      </c>
      <c r="B3130" s="3" t="s">
        <v>763</v>
      </c>
      <c r="C3130" s="3" t="s">
        <v>10</v>
      </c>
      <c r="D3130" s="4">
        <f>HYPERLINK("https://cao.dolgi.msk.ru/account/1060221256/", 1060221256)</f>
        <v>1060221256</v>
      </c>
      <c r="E3130" s="3">
        <v>5120.79</v>
      </c>
    </row>
    <row r="3131" spans="1:5" x14ac:dyDescent="0.25">
      <c r="A3131" s="3" t="s">
        <v>5</v>
      </c>
      <c r="B3131" s="3" t="s">
        <v>763</v>
      </c>
      <c r="C3131" s="3" t="s">
        <v>16</v>
      </c>
      <c r="D3131" s="4">
        <f>HYPERLINK("https://cao.dolgi.msk.ru/account/1060221336/", 1060221336)</f>
        <v>1060221336</v>
      </c>
      <c r="E3131" s="3">
        <v>157281.16</v>
      </c>
    </row>
    <row r="3132" spans="1:5" x14ac:dyDescent="0.25">
      <c r="A3132" s="3" t="s">
        <v>5</v>
      </c>
      <c r="B3132" s="3" t="s">
        <v>763</v>
      </c>
      <c r="C3132" s="3" t="s">
        <v>20</v>
      </c>
      <c r="D3132" s="4">
        <f>HYPERLINK("https://cao.dolgi.msk.ru/account/1060221387/", 1060221387)</f>
        <v>1060221387</v>
      </c>
      <c r="E3132" s="3">
        <v>14669.93</v>
      </c>
    </row>
    <row r="3133" spans="1:5" x14ac:dyDescent="0.25">
      <c r="A3133" s="3" t="s">
        <v>5</v>
      </c>
      <c r="B3133" s="3" t="s">
        <v>763</v>
      </c>
      <c r="C3133" s="3" t="s">
        <v>29</v>
      </c>
      <c r="D3133" s="4">
        <f>HYPERLINK("https://cao.dolgi.msk.ru/account/1060221483/", 1060221483)</f>
        <v>1060221483</v>
      </c>
      <c r="E3133" s="3">
        <v>18084.88</v>
      </c>
    </row>
    <row r="3134" spans="1:5" x14ac:dyDescent="0.25">
      <c r="A3134" s="3" t="s">
        <v>5</v>
      </c>
      <c r="B3134" s="3" t="s">
        <v>763</v>
      </c>
      <c r="C3134" s="3" t="s">
        <v>33</v>
      </c>
      <c r="D3134" s="4">
        <f>HYPERLINK("https://cao.dolgi.msk.ru/account/1060221512/", 1060221512)</f>
        <v>1060221512</v>
      </c>
      <c r="E3134" s="3">
        <v>11385.97</v>
      </c>
    </row>
    <row r="3135" spans="1:5" x14ac:dyDescent="0.25">
      <c r="A3135" s="3" t="s">
        <v>5</v>
      </c>
      <c r="B3135" s="3" t="s">
        <v>763</v>
      </c>
      <c r="C3135" s="3" t="s">
        <v>41</v>
      </c>
      <c r="D3135" s="4">
        <f>HYPERLINK("https://cao.dolgi.msk.ru/account/1060221627/", 1060221627)</f>
        <v>1060221627</v>
      </c>
      <c r="E3135" s="3">
        <v>5469.16</v>
      </c>
    </row>
    <row r="3136" spans="1:5" x14ac:dyDescent="0.25">
      <c r="A3136" s="3" t="s">
        <v>5</v>
      </c>
      <c r="B3136" s="3" t="s">
        <v>763</v>
      </c>
      <c r="C3136" s="3" t="s">
        <v>65</v>
      </c>
      <c r="D3136" s="4">
        <f>HYPERLINK("https://cao.dolgi.msk.ru/account/1060221918/", 1060221918)</f>
        <v>1060221918</v>
      </c>
      <c r="E3136" s="3">
        <v>10080.92</v>
      </c>
    </row>
    <row r="3137" spans="1:5" x14ac:dyDescent="0.25">
      <c r="A3137" s="3" t="s">
        <v>5</v>
      </c>
      <c r="B3137" s="3" t="s">
        <v>764</v>
      </c>
      <c r="C3137" s="3" t="s">
        <v>51</v>
      </c>
      <c r="D3137" s="4">
        <f>HYPERLINK("https://cao.dolgi.msk.ru/account/1060256723/", 1060256723)</f>
        <v>1060256723</v>
      </c>
      <c r="E3137" s="3">
        <v>3490.8</v>
      </c>
    </row>
    <row r="3138" spans="1:5" x14ac:dyDescent="0.25">
      <c r="A3138" s="3" t="s">
        <v>5</v>
      </c>
      <c r="B3138" s="3" t="s">
        <v>764</v>
      </c>
      <c r="C3138" s="3" t="s">
        <v>8</v>
      </c>
      <c r="D3138" s="4">
        <f>HYPERLINK("https://cao.dolgi.msk.ru/account/1060256766/", 1060256766)</f>
        <v>1060256766</v>
      </c>
      <c r="E3138" s="3">
        <v>4471.07</v>
      </c>
    </row>
    <row r="3139" spans="1:5" x14ac:dyDescent="0.25">
      <c r="A3139" s="3" t="s">
        <v>5</v>
      </c>
      <c r="B3139" s="3" t="s">
        <v>764</v>
      </c>
      <c r="C3139" s="3" t="s">
        <v>8</v>
      </c>
      <c r="D3139" s="4">
        <f>HYPERLINK("https://cao.dolgi.msk.ru/account/1060853261/", 1060853261)</f>
        <v>1060853261</v>
      </c>
      <c r="E3139" s="3">
        <v>7664.07</v>
      </c>
    </row>
    <row r="3140" spans="1:5" x14ac:dyDescent="0.25">
      <c r="A3140" s="3" t="s">
        <v>5</v>
      </c>
      <c r="B3140" s="3" t="s">
        <v>764</v>
      </c>
      <c r="C3140" s="3" t="s">
        <v>30</v>
      </c>
      <c r="D3140" s="4">
        <f>HYPERLINK("https://cao.dolgi.msk.ru/account/1060256838/", 1060256838)</f>
        <v>1060256838</v>
      </c>
      <c r="E3140" s="3">
        <v>7305.69</v>
      </c>
    </row>
    <row r="3141" spans="1:5" x14ac:dyDescent="0.25">
      <c r="A3141" s="3" t="s">
        <v>5</v>
      </c>
      <c r="B3141" s="3" t="s">
        <v>764</v>
      </c>
      <c r="C3141" s="3" t="s">
        <v>131</v>
      </c>
      <c r="D3141" s="4">
        <f>HYPERLINK("https://cao.dolgi.msk.ru/account/1060256862/", 1060256862)</f>
        <v>1060256862</v>
      </c>
      <c r="E3141" s="3">
        <v>379891.16</v>
      </c>
    </row>
    <row r="3142" spans="1:5" x14ac:dyDescent="0.25">
      <c r="A3142" s="3" t="s">
        <v>5</v>
      </c>
      <c r="B3142" s="3" t="s">
        <v>764</v>
      </c>
      <c r="C3142" s="3" t="s">
        <v>131</v>
      </c>
      <c r="D3142" s="4">
        <f>HYPERLINK("https://cao.dolgi.msk.ru/account/1060864737/", 1060864737)</f>
        <v>1060864737</v>
      </c>
      <c r="E3142" s="3">
        <v>30495.87</v>
      </c>
    </row>
    <row r="3143" spans="1:5" x14ac:dyDescent="0.25">
      <c r="A3143" s="3" t="s">
        <v>5</v>
      </c>
      <c r="B3143" s="3" t="s">
        <v>764</v>
      </c>
      <c r="C3143" s="3" t="s">
        <v>131</v>
      </c>
      <c r="D3143" s="4">
        <f>HYPERLINK("https://cao.dolgi.msk.ru/account/1060864745/", 1060864745)</f>
        <v>1060864745</v>
      </c>
      <c r="E3143" s="3">
        <v>31056.29</v>
      </c>
    </row>
    <row r="3144" spans="1:5" x14ac:dyDescent="0.25">
      <c r="A3144" s="3" t="s">
        <v>5</v>
      </c>
      <c r="B3144" s="3" t="s">
        <v>764</v>
      </c>
      <c r="C3144" s="3" t="s">
        <v>131</v>
      </c>
      <c r="D3144" s="4">
        <f>HYPERLINK("https://cao.dolgi.msk.ru/account/1060864753/", 1060864753)</f>
        <v>1060864753</v>
      </c>
      <c r="E3144" s="3">
        <v>62193.85</v>
      </c>
    </row>
    <row r="3145" spans="1:5" x14ac:dyDescent="0.25">
      <c r="A3145" s="3" t="s">
        <v>5</v>
      </c>
      <c r="B3145" s="3" t="s">
        <v>764</v>
      </c>
      <c r="C3145" s="3" t="s">
        <v>105</v>
      </c>
      <c r="D3145" s="4">
        <f>HYPERLINK("https://cao.dolgi.msk.ru/account/1060256969/", 1060256969)</f>
        <v>1060256969</v>
      </c>
      <c r="E3145" s="3">
        <v>31540.31</v>
      </c>
    </row>
    <row r="3146" spans="1:5" x14ac:dyDescent="0.25">
      <c r="A3146" s="3" t="s">
        <v>5</v>
      </c>
      <c r="B3146" s="3" t="s">
        <v>764</v>
      </c>
      <c r="C3146" s="3" t="s">
        <v>132</v>
      </c>
      <c r="D3146" s="4">
        <f>HYPERLINK("https://cao.dolgi.msk.ru/account/1060256993/", 1060256993)</f>
        <v>1060256993</v>
      </c>
      <c r="E3146" s="3">
        <v>5615.21</v>
      </c>
    </row>
    <row r="3147" spans="1:5" x14ac:dyDescent="0.25">
      <c r="A3147" s="3" t="s">
        <v>5</v>
      </c>
      <c r="B3147" s="3" t="s">
        <v>764</v>
      </c>
      <c r="C3147" s="3" t="s">
        <v>134</v>
      </c>
      <c r="D3147" s="4">
        <f>HYPERLINK("https://cao.dolgi.msk.ru/account/1060882601/", 1060882601)</f>
        <v>1060882601</v>
      </c>
      <c r="E3147" s="3">
        <v>6531.29</v>
      </c>
    </row>
    <row r="3148" spans="1:5" x14ac:dyDescent="0.25">
      <c r="A3148" s="3" t="s">
        <v>5</v>
      </c>
      <c r="B3148" s="3" t="s">
        <v>764</v>
      </c>
      <c r="C3148" s="3" t="s">
        <v>134</v>
      </c>
      <c r="D3148" s="4">
        <f>HYPERLINK("https://cao.dolgi.msk.ru/account/1060882628/", 1060882628)</f>
        <v>1060882628</v>
      </c>
      <c r="E3148" s="3">
        <v>8311.32</v>
      </c>
    </row>
    <row r="3149" spans="1:5" x14ac:dyDescent="0.25">
      <c r="A3149" s="3" t="s">
        <v>5</v>
      </c>
      <c r="B3149" s="3" t="s">
        <v>764</v>
      </c>
      <c r="C3149" s="3" t="s">
        <v>135</v>
      </c>
      <c r="D3149" s="4">
        <f>HYPERLINK("https://cao.dolgi.msk.ru/account/1060257064/", 1060257064)</f>
        <v>1060257064</v>
      </c>
      <c r="E3149" s="3">
        <v>7652.66</v>
      </c>
    </row>
    <row r="3150" spans="1:5" x14ac:dyDescent="0.25">
      <c r="A3150" s="3" t="s">
        <v>5</v>
      </c>
      <c r="B3150" s="3" t="s">
        <v>764</v>
      </c>
      <c r="C3150" s="3" t="s">
        <v>135</v>
      </c>
      <c r="D3150" s="4">
        <f>HYPERLINK("https://cao.dolgi.msk.ru/account/1060257072/", 1060257072)</f>
        <v>1060257072</v>
      </c>
      <c r="E3150" s="3">
        <v>8027</v>
      </c>
    </row>
    <row r="3151" spans="1:5" x14ac:dyDescent="0.25">
      <c r="A3151" s="3" t="s">
        <v>5</v>
      </c>
      <c r="B3151" s="3" t="s">
        <v>764</v>
      </c>
      <c r="C3151" s="3" t="s">
        <v>137</v>
      </c>
      <c r="D3151" s="4">
        <f>HYPERLINK("https://cao.dolgi.msk.ru/account/1060257128/", 1060257128)</f>
        <v>1060257128</v>
      </c>
      <c r="E3151" s="3">
        <v>6302.35</v>
      </c>
    </row>
    <row r="3152" spans="1:5" x14ac:dyDescent="0.25">
      <c r="A3152" s="3" t="s">
        <v>5</v>
      </c>
      <c r="B3152" s="3" t="s">
        <v>764</v>
      </c>
      <c r="C3152" s="3" t="s">
        <v>137</v>
      </c>
      <c r="D3152" s="4">
        <f>HYPERLINK("https://cao.dolgi.msk.ru/account/1060257144/", 1060257144)</f>
        <v>1060257144</v>
      </c>
      <c r="E3152" s="3">
        <v>82803.81</v>
      </c>
    </row>
    <row r="3153" spans="1:5" x14ac:dyDescent="0.25">
      <c r="A3153" s="3" t="s">
        <v>5</v>
      </c>
      <c r="B3153" s="3" t="s">
        <v>764</v>
      </c>
      <c r="C3153" s="3" t="s">
        <v>138</v>
      </c>
      <c r="D3153" s="4">
        <f>HYPERLINK("https://cao.dolgi.msk.ru/account/1060257152/", 1060257152)</f>
        <v>1060257152</v>
      </c>
      <c r="E3153" s="3">
        <v>2879.12</v>
      </c>
    </row>
    <row r="3154" spans="1:5" x14ac:dyDescent="0.25">
      <c r="A3154" s="3" t="s">
        <v>5</v>
      </c>
      <c r="B3154" s="3" t="s">
        <v>764</v>
      </c>
      <c r="C3154" s="3" t="s">
        <v>138</v>
      </c>
      <c r="D3154" s="4">
        <f>HYPERLINK("https://cao.dolgi.msk.ru/account/1060257179/", 1060257179)</f>
        <v>1060257179</v>
      </c>
      <c r="E3154" s="3">
        <v>32182.080000000002</v>
      </c>
    </row>
    <row r="3155" spans="1:5" x14ac:dyDescent="0.25">
      <c r="A3155" s="3" t="s">
        <v>5</v>
      </c>
      <c r="B3155" s="3" t="s">
        <v>764</v>
      </c>
      <c r="C3155" s="3" t="s">
        <v>138</v>
      </c>
      <c r="D3155" s="4">
        <f>HYPERLINK("https://cao.dolgi.msk.ru/account/1060876404/", 1060876404)</f>
        <v>1060876404</v>
      </c>
      <c r="E3155" s="3">
        <v>9568.2199999999993</v>
      </c>
    </row>
    <row r="3156" spans="1:5" x14ac:dyDescent="0.25">
      <c r="A3156" s="3" t="s">
        <v>5</v>
      </c>
      <c r="B3156" s="3" t="s">
        <v>764</v>
      </c>
      <c r="C3156" s="3" t="s">
        <v>139</v>
      </c>
      <c r="D3156" s="4">
        <f>HYPERLINK("https://cao.dolgi.msk.ru/account/1060257187/", 1060257187)</f>
        <v>1060257187</v>
      </c>
      <c r="E3156" s="3">
        <v>22594.25</v>
      </c>
    </row>
    <row r="3157" spans="1:5" x14ac:dyDescent="0.25">
      <c r="A3157" s="3" t="s">
        <v>5</v>
      </c>
      <c r="B3157" s="3" t="s">
        <v>764</v>
      </c>
      <c r="C3157" s="3" t="s">
        <v>140</v>
      </c>
      <c r="D3157" s="4">
        <f>HYPERLINK("https://cao.dolgi.msk.ru/account/1060259318/", 1060259318)</f>
        <v>1060259318</v>
      </c>
      <c r="E3157" s="3">
        <v>9094.48</v>
      </c>
    </row>
    <row r="3158" spans="1:5" x14ac:dyDescent="0.25">
      <c r="A3158" s="3" t="s">
        <v>5</v>
      </c>
      <c r="B3158" s="3" t="s">
        <v>764</v>
      </c>
      <c r="C3158" s="3" t="s">
        <v>143</v>
      </c>
      <c r="D3158" s="4">
        <f>HYPERLINK("https://cao.dolgi.msk.ru/account/1060823855/", 1060823855)</f>
        <v>1060823855</v>
      </c>
      <c r="E3158" s="3">
        <v>3332.21</v>
      </c>
    </row>
    <row r="3159" spans="1:5" x14ac:dyDescent="0.25">
      <c r="A3159" s="3" t="s">
        <v>5</v>
      </c>
      <c r="B3159" s="3" t="s">
        <v>764</v>
      </c>
      <c r="C3159" s="3" t="s">
        <v>12</v>
      </c>
      <c r="D3159" s="4">
        <f>HYPERLINK("https://cao.dolgi.msk.ru/account/1060078664/", 1060078664)</f>
        <v>1060078664</v>
      </c>
      <c r="E3159" s="3">
        <v>4328.8599999999997</v>
      </c>
    </row>
    <row r="3160" spans="1:5" x14ac:dyDescent="0.25">
      <c r="A3160" s="3" t="s">
        <v>5</v>
      </c>
      <c r="B3160" s="3" t="s">
        <v>764</v>
      </c>
      <c r="C3160" s="3" t="s">
        <v>14</v>
      </c>
      <c r="D3160" s="4">
        <f>HYPERLINK("https://cao.dolgi.msk.ru/account/1060078699/", 1060078699)</f>
        <v>1060078699</v>
      </c>
      <c r="E3160" s="3">
        <v>8340.81</v>
      </c>
    </row>
    <row r="3161" spans="1:5" x14ac:dyDescent="0.25">
      <c r="A3161" s="3" t="s">
        <v>5</v>
      </c>
      <c r="B3161" s="3" t="s">
        <v>764</v>
      </c>
      <c r="C3161" s="3" t="s">
        <v>16</v>
      </c>
      <c r="D3161" s="4">
        <f>HYPERLINK("https://cao.dolgi.msk.ru/account/1060078728/", 1060078728)</f>
        <v>1060078728</v>
      </c>
      <c r="E3161" s="3">
        <v>289270.05</v>
      </c>
    </row>
    <row r="3162" spans="1:5" x14ac:dyDescent="0.25">
      <c r="A3162" s="3" t="s">
        <v>5</v>
      </c>
      <c r="B3162" s="3" t="s">
        <v>764</v>
      </c>
      <c r="C3162" s="3" t="s">
        <v>17</v>
      </c>
      <c r="D3162" s="4">
        <f>HYPERLINK("https://cao.dolgi.msk.ru/account/1060078744/", 1060078744)</f>
        <v>1060078744</v>
      </c>
      <c r="E3162" s="3">
        <v>492450.12</v>
      </c>
    </row>
    <row r="3163" spans="1:5" x14ac:dyDescent="0.25">
      <c r="A3163" s="3" t="s">
        <v>5</v>
      </c>
      <c r="B3163" s="3" t="s">
        <v>765</v>
      </c>
      <c r="C3163" s="3" t="s">
        <v>48</v>
      </c>
      <c r="D3163" s="4">
        <f>HYPERLINK("https://cao.dolgi.msk.ru/account/1060222371/", 1060222371)</f>
        <v>1060222371</v>
      </c>
      <c r="E3163" s="3">
        <v>18892.189999999999</v>
      </c>
    </row>
    <row r="3164" spans="1:5" x14ac:dyDescent="0.25">
      <c r="A3164" s="3" t="s">
        <v>5</v>
      </c>
      <c r="B3164" s="3" t="s">
        <v>766</v>
      </c>
      <c r="C3164" s="3" t="s">
        <v>132</v>
      </c>
      <c r="D3164" s="4">
        <f>HYPERLINK("https://cao.dolgi.msk.ru/account/1060514497/", 1060514497)</f>
        <v>1060514497</v>
      </c>
      <c r="E3164" s="3">
        <v>37690.1</v>
      </c>
    </row>
    <row r="3165" spans="1:5" x14ac:dyDescent="0.25">
      <c r="A3165" s="3" t="s">
        <v>5</v>
      </c>
      <c r="B3165" s="3" t="s">
        <v>766</v>
      </c>
      <c r="C3165" s="3" t="s">
        <v>137</v>
      </c>
      <c r="D3165" s="4">
        <f>HYPERLINK("https://cao.dolgi.msk.ru/account/1060514569/", 1060514569)</f>
        <v>1060514569</v>
      </c>
      <c r="E3165" s="3">
        <v>5375.37</v>
      </c>
    </row>
    <row r="3166" spans="1:5" x14ac:dyDescent="0.25">
      <c r="A3166" s="3" t="s">
        <v>5</v>
      </c>
      <c r="B3166" s="3" t="s">
        <v>766</v>
      </c>
      <c r="C3166" s="3" t="s">
        <v>139</v>
      </c>
      <c r="D3166" s="4">
        <f>HYPERLINK("https://cao.dolgi.msk.ru/account/1060514585/", 1060514585)</f>
        <v>1060514585</v>
      </c>
      <c r="E3166" s="3">
        <v>8313.75</v>
      </c>
    </row>
    <row r="3167" spans="1:5" x14ac:dyDescent="0.25">
      <c r="A3167" s="3" t="s">
        <v>5</v>
      </c>
      <c r="B3167" s="3" t="s">
        <v>766</v>
      </c>
      <c r="C3167" s="3" t="s">
        <v>23</v>
      </c>
      <c r="D3167" s="4">
        <f>HYPERLINK("https://cao.dolgi.msk.ru/account/1060514817/", 1060514817)</f>
        <v>1060514817</v>
      </c>
      <c r="E3167" s="3">
        <v>13491.48</v>
      </c>
    </row>
    <row r="3168" spans="1:5" x14ac:dyDescent="0.25">
      <c r="A3168" s="3" t="s">
        <v>5</v>
      </c>
      <c r="B3168" s="3" t="s">
        <v>766</v>
      </c>
      <c r="C3168" s="3" t="s">
        <v>36</v>
      </c>
      <c r="D3168" s="4">
        <f>HYPERLINK("https://cao.dolgi.msk.ru/account/1060514956/", 1060514956)</f>
        <v>1060514956</v>
      </c>
      <c r="E3168" s="3">
        <v>39631.550000000003</v>
      </c>
    </row>
    <row r="3169" spans="1:5" x14ac:dyDescent="0.25">
      <c r="A3169" s="3" t="s">
        <v>5</v>
      </c>
      <c r="B3169" s="3" t="s">
        <v>766</v>
      </c>
      <c r="C3169" s="3" t="s">
        <v>50</v>
      </c>
      <c r="D3169" s="4">
        <f>HYPERLINK("https://cao.dolgi.msk.ru/account/1060515123/", 1060515123)</f>
        <v>1060515123</v>
      </c>
      <c r="E3169" s="3">
        <v>22041.01</v>
      </c>
    </row>
    <row r="3170" spans="1:5" x14ac:dyDescent="0.25">
      <c r="A3170" s="3" t="s">
        <v>5</v>
      </c>
      <c r="B3170" s="3" t="s">
        <v>766</v>
      </c>
      <c r="C3170" s="3" t="s">
        <v>65</v>
      </c>
      <c r="D3170" s="4">
        <f>HYPERLINK("https://cao.dolgi.msk.ru/account/1060515297/", 1060515297)</f>
        <v>1060515297</v>
      </c>
      <c r="E3170" s="3">
        <v>11021.18</v>
      </c>
    </row>
    <row r="3171" spans="1:5" x14ac:dyDescent="0.25">
      <c r="A3171" s="3" t="s">
        <v>5</v>
      </c>
      <c r="B3171" s="3" t="s">
        <v>766</v>
      </c>
      <c r="C3171" s="3" t="s">
        <v>66</v>
      </c>
      <c r="D3171" s="4">
        <f>HYPERLINK("https://cao.dolgi.msk.ru/account/1060515318/", 1060515318)</f>
        <v>1060515318</v>
      </c>
      <c r="E3171" s="3">
        <v>10712.61</v>
      </c>
    </row>
    <row r="3172" spans="1:5" x14ac:dyDescent="0.25">
      <c r="A3172" s="3" t="s">
        <v>5</v>
      </c>
      <c r="B3172" s="3" t="s">
        <v>766</v>
      </c>
      <c r="C3172" s="3" t="s">
        <v>144</v>
      </c>
      <c r="D3172" s="4">
        <f>HYPERLINK("https://cao.dolgi.msk.ru/account/1060880999/", 1060880999)</f>
        <v>1060880999</v>
      </c>
      <c r="E3172" s="3">
        <v>40166.83</v>
      </c>
    </row>
    <row r="3173" spans="1:5" x14ac:dyDescent="0.25">
      <c r="A3173" s="3" t="s">
        <v>5</v>
      </c>
      <c r="B3173" s="3" t="s">
        <v>766</v>
      </c>
      <c r="C3173" s="3" t="s">
        <v>97</v>
      </c>
      <c r="D3173" s="4">
        <f>HYPERLINK("https://cao.dolgi.msk.ru/account/1060515625/", 1060515625)</f>
        <v>1060515625</v>
      </c>
      <c r="E3173" s="3">
        <v>66235.5</v>
      </c>
    </row>
    <row r="3174" spans="1:5" x14ac:dyDescent="0.25">
      <c r="A3174" s="3" t="s">
        <v>5</v>
      </c>
      <c r="B3174" s="3" t="s">
        <v>766</v>
      </c>
      <c r="C3174" s="3" t="s">
        <v>98</v>
      </c>
      <c r="D3174" s="4">
        <f>HYPERLINK("https://cao.dolgi.msk.ru/account/1060515633/", 1060515633)</f>
        <v>1060515633</v>
      </c>
      <c r="E3174" s="3">
        <v>37308.58</v>
      </c>
    </row>
    <row r="3175" spans="1:5" x14ac:dyDescent="0.25">
      <c r="A3175" s="3" t="s">
        <v>5</v>
      </c>
      <c r="B3175" s="3" t="s">
        <v>766</v>
      </c>
      <c r="C3175" s="3" t="s">
        <v>102</v>
      </c>
      <c r="D3175" s="4">
        <f>HYPERLINK("https://cao.dolgi.msk.ru/account/1060515684/", 1060515684)</f>
        <v>1060515684</v>
      </c>
      <c r="E3175" s="3">
        <v>6752.41</v>
      </c>
    </row>
    <row r="3176" spans="1:5" x14ac:dyDescent="0.25">
      <c r="A3176" s="3" t="s">
        <v>5</v>
      </c>
      <c r="B3176" s="3" t="s">
        <v>767</v>
      </c>
      <c r="C3176" s="3" t="s">
        <v>14</v>
      </c>
      <c r="D3176" s="4">
        <f>HYPERLINK("https://cao.dolgi.msk.ru/account/1060760612/", 1060760612)</f>
        <v>1060760612</v>
      </c>
      <c r="E3176" s="3">
        <v>31762.65</v>
      </c>
    </row>
    <row r="3177" spans="1:5" x14ac:dyDescent="0.25">
      <c r="A3177" s="3" t="s">
        <v>5</v>
      </c>
      <c r="B3177" s="3" t="s">
        <v>767</v>
      </c>
      <c r="C3177" s="3" t="s">
        <v>23</v>
      </c>
      <c r="D3177" s="4">
        <f>HYPERLINK("https://cao.dolgi.msk.ru/account/1060822932/", 1060822932)</f>
        <v>1060822932</v>
      </c>
      <c r="E3177" s="3">
        <v>12153.88</v>
      </c>
    </row>
    <row r="3178" spans="1:5" x14ac:dyDescent="0.25">
      <c r="A3178" s="3" t="s">
        <v>5</v>
      </c>
      <c r="B3178" s="3" t="s">
        <v>767</v>
      </c>
      <c r="C3178" s="3" t="s">
        <v>29</v>
      </c>
      <c r="D3178" s="4">
        <f>HYPERLINK("https://cao.dolgi.msk.ru/account/1060760807/", 1060760807)</f>
        <v>1060760807</v>
      </c>
      <c r="E3178" s="3">
        <v>39339.46</v>
      </c>
    </row>
    <row r="3179" spans="1:5" x14ac:dyDescent="0.25">
      <c r="A3179" s="3" t="s">
        <v>5</v>
      </c>
      <c r="B3179" s="3" t="s">
        <v>767</v>
      </c>
      <c r="C3179" s="3" t="s">
        <v>37</v>
      </c>
      <c r="D3179" s="4">
        <f>HYPERLINK("https://cao.dolgi.msk.ru/account/1060760882/", 1060760882)</f>
        <v>1060760882</v>
      </c>
      <c r="E3179" s="3">
        <v>51115.24</v>
      </c>
    </row>
    <row r="3180" spans="1:5" x14ac:dyDescent="0.25">
      <c r="A3180" s="3" t="s">
        <v>5</v>
      </c>
      <c r="B3180" s="3" t="s">
        <v>767</v>
      </c>
      <c r="C3180" s="3" t="s">
        <v>42</v>
      </c>
      <c r="D3180" s="4">
        <f>HYPERLINK("https://cao.dolgi.msk.ru/account/1060760954/", 1060760954)</f>
        <v>1060760954</v>
      </c>
      <c r="E3180" s="3">
        <v>40967.58</v>
      </c>
    </row>
    <row r="3181" spans="1:5" x14ac:dyDescent="0.25">
      <c r="A3181" s="3" t="s">
        <v>5</v>
      </c>
      <c r="B3181" s="3" t="s">
        <v>767</v>
      </c>
      <c r="C3181" s="3" t="s">
        <v>59</v>
      </c>
      <c r="D3181" s="4">
        <f>HYPERLINK("https://cao.dolgi.msk.ru/account/1060761148/", 1060761148)</f>
        <v>1060761148</v>
      </c>
      <c r="E3181" s="3">
        <v>3621.08</v>
      </c>
    </row>
    <row r="3182" spans="1:5" x14ac:dyDescent="0.25">
      <c r="A3182" s="3" t="s">
        <v>5</v>
      </c>
      <c r="B3182" s="3" t="s">
        <v>767</v>
      </c>
      <c r="C3182" s="3" t="s">
        <v>72</v>
      </c>
      <c r="D3182" s="4">
        <f>HYPERLINK("https://cao.dolgi.msk.ru/account/1060761244/", 1060761244)</f>
        <v>1060761244</v>
      </c>
      <c r="E3182" s="3">
        <v>5186.51</v>
      </c>
    </row>
    <row r="3183" spans="1:5" x14ac:dyDescent="0.25">
      <c r="A3183" s="3" t="s">
        <v>5</v>
      </c>
      <c r="B3183" s="3" t="s">
        <v>767</v>
      </c>
      <c r="C3183" s="3" t="s">
        <v>75</v>
      </c>
      <c r="D3183" s="4">
        <f>HYPERLINK("https://cao.dolgi.msk.ru/account/1060761287/", 1060761287)</f>
        <v>1060761287</v>
      </c>
      <c r="E3183" s="3">
        <v>27082.33</v>
      </c>
    </row>
    <row r="3184" spans="1:5" x14ac:dyDescent="0.25">
      <c r="A3184" s="3" t="s">
        <v>5</v>
      </c>
      <c r="B3184" s="3" t="s">
        <v>767</v>
      </c>
      <c r="C3184" s="3" t="s">
        <v>78</v>
      </c>
      <c r="D3184" s="4">
        <f>HYPERLINK("https://cao.dolgi.msk.ru/account/1060761316/", 1060761316)</f>
        <v>1060761316</v>
      </c>
      <c r="E3184" s="3">
        <v>135587.04999999999</v>
      </c>
    </row>
    <row r="3185" spans="1:5" x14ac:dyDescent="0.25">
      <c r="A3185" s="3" t="s">
        <v>5</v>
      </c>
      <c r="B3185" s="3" t="s">
        <v>767</v>
      </c>
      <c r="C3185" s="3" t="s">
        <v>98</v>
      </c>
      <c r="D3185" s="4">
        <f>HYPERLINK("https://cao.dolgi.msk.ru/account/1060761543/", 1060761543)</f>
        <v>1060761543</v>
      </c>
      <c r="E3185" s="3">
        <v>4934.43</v>
      </c>
    </row>
    <row r="3186" spans="1:5" x14ac:dyDescent="0.25">
      <c r="A3186" s="3" t="s">
        <v>5</v>
      </c>
      <c r="B3186" s="3" t="s">
        <v>767</v>
      </c>
      <c r="C3186" s="3" t="s">
        <v>99</v>
      </c>
      <c r="D3186" s="4">
        <f>HYPERLINK("https://cao.dolgi.msk.ru/account/1060761551/", 1060761551)</f>
        <v>1060761551</v>
      </c>
      <c r="E3186" s="3">
        <v>364131.46</v>
      </c>
    </row>
    <row r="3187" spans="1:5" x14ac:dyDescent="0.25">
      <c r="A3187" s="3" t="s">
        <v>5</v>
      </c>
      <c r="B3187" s="3" t="s">
        <v>767</v>
      </c>
      <c r="C3187" s="3" t="s">
        <v>106</v>
      </c>
      <c r="D3187" s="4">
        <f>HYPERLINK("https://cao.dolgi.msk.ru/account/1060761674/", 1060761674)</f>
        <v>1060761674</v>
      </c>
      <c r="E3187" s="3">
        <v>6173.96</v>
      </c>
    </row>
    <row r="3188" spans="1:5" x14ac:dyDescent="0.25">
      <c r="A3188" s="3" t="s">
        <v>5</v>
      </c>
      <c r="B3188" s="3" t="s">
        <v>767</v>
      </c>
      <c r="C3188" s="3" t="s">
        <v>107</v>
      </c>
      <c r="D3188" s="4">
        <f>HYPERLINK("https://cao.dolgi.msk.ru/account/1060761682/", 1060761682)</f>
        <v>1060761682</v>
      </c>
      <c r="E3188" s="3">
        <v>12411.24</v>
      </c>
    </row>
    <row r="3189" spans="1:5" x14ac:dyDescent="0.25">
      <c r="A3189" s="3" t="s">
        <v>5</v>
      </c>
      <c r="B3189" s="3" t="s">
        <v>767</v>
      </c>
      <c r="C3189" s="3" t="s">
        <v>149</v>
      </c>
      <c r="D3189" s="4">
        <f>HYPERLINK("https://cao.dolgi.msk.ru/account/1060761826/", 1060761826)</f>
        <v>1060761826</v>
      </c>
      <c r="E3189" s="3">
        <v>33229.58</v>
      </c>
    </row>
    <row r="3190" spans="1:5" x14ac:dyDescent="0.25">
      <c r="A3190" s="3" t="s">
        <v>5</v>
      </c>
      <c r="B3190" s="3" t="s">
        <v>767</v>
      </c>
      <c r="C3190" s="3" t="s">
        <v>150</v>
      </c>
      <c r="D3190" s="4">
        <f>HYPERLINK("https://cao.dolgi.msk.ru/account/1060761834/", 1060761834)</f>
        <v>1060761834</v>
      </c>
      <c r="E3190" s="3">
        <v>38812.519999999997</v>
      </c>
    </row>
    <row r="3191" spans="1:5" x14ac:dyDescent="0.25">
      <c r="A3191" s="3" t="s">
        <v>5</v>
      </c>
      <c r="B3191" s="3" t="s">
        <v>767</v>
      </c>
      <c r="C3191" s="3" t="s">
        <v>153</v>
      </c>
      <c r="D3191" s="4">
        <f>HYPERLINK("https://cao.dolgi.msk.ru/account/1069116807/", 1069116807)</f>
        <v>1069116807</v>
      </c>
      <c r="E3191" s="3">
        <v>146608.51999999999</v>
      </c>
    </row>
    <row r="3192" spans="1:5" x14ac:dyDescent="0.25">
      <c r="A3192" s="3" t="s">
        <v>5</v>
      </c>
      <c r="B3192" s="3" t="s">
        <v>767</v>
      </c>
      <c r="C3192" s="3" t="s">
        <v>154</v>
      </c>
      <c r="D3192" s="4">
        <f>HYPERLINK("https://cao.dolgi.msk.ru/account/1060761885/", 1060761885)</f>
        <v>1060761885</v>
      </c>
      <c r="E3192" s="3">
        <v>16437.07</v>
      </c>
    </row>
    <row r="3193" spans="1:5" x14ac:dyDescent="0.25">
      <c r="A3193" s="3" t="s">
        <v>5</v>
      </c>
      <c r="B3193" s="3" t="s">
        <v>767</v>
      </c>
      <c r="C3193" s="3" t="s">
        <v>183</v>
      </c>
      <c r="D3193" s="4">
        <f>HYPERLINK("https://cao.dolgi.msk.ru/account/1060762212/", 1060762212)</f>
        <v>1060762212</v>
      </c>
      <c r="E3193" s="3">
        <v>5478.84</v>
      </c>
    </row>
    <row r="3194" spans="1:5" x14ac:dyDescent="0.25">
      <c r="A3194" s="3" t="s">
        <v>5</v>
      </c>
      <c r="B3194" s="3" t="s">
        <v>767</v>
      </c>
      <c r="C3194" s="3" t="s">
        <v>185</v>
      </c>
      <c r="D3194" s="4">
        <f>HYPERLINK("https://cao.dolgi.msk.ru/account/1060762247/", 1060762247)</f>
        <v>1060762247</v>
      </c>
      <c r="E3194" s="3">
        <v>10761.28</v>
      </c>
    </row>
    <row r="3195" spans="1:5" x14ac:dyDescent="0.25">
      <c r="A3195" s="3" t="s">
        <v>5</v>
      </c>
      <c r="B3195" s="3" t="s">
        <v>767</v>
      </c>
      <c r="C3195" s="3" t="s">
        <v>188</v>
      </c>
      <c r="D3195" s="4">
        <f>HYPERLINK("https://cao.dolgi.msk.ru/account/1060762271/", 1060762271)</f>
        <v>1060762271</v>
      </c>
      <c r="E3195" s="3">
        <v>11713.25</v>
      </c>
    </row>
    <row r="3196" spans="1:5" x14ac:dyDescent="0.25">
      <c r="A3196" s="3" t="s">
        <v>5</v>
      </c>
      <c r="B3196" s="3" t="s">
        <v>767</v>
      </c>
      <c r="C3196" s="3" t="s">
        <v>214</v>
      </c>
      <c r="D3196" s="4">
        <f>HYPERLINK("https://cao.dolgi.msk.ru/account/1060762554/", 1060762554)</f>
        <v>1060762554</v>
      </c>
      <c r="E3196" s="3">
        <v>8701.6200000000008</v>
      </c>
    </row>
    <row r="3197" spans="1:5" x14ac:dyDescent="0.25">
      <c r="A3197" s="3" t="s">
        <v>5</v>
      </c>
      <c r="B3197" s="3" t="s">
        <v>767</v>
      </c>
      <c r="C3197" s="3" t="s">
        <v>219</v>
      </c>
      <c r="D3197" s="4">
        <f>HYPERLINK("https://cao.dolgi.msk.ru/account/1060762626/", 1060762626)</f>
        <v>1060762626</v>
      </c>
      <c r="E3197" s="3">
        <v>24601.99</v>
      </c>
    </row>
    <row r="3198" spans="1:5" x14ac:dyDescent="0.25">
      <c r="A3198" s="3" t="s">
        <v>5</v>
      </c>
      <c r="B3198" s="3" t="s">
        <v>767</v>
      </c>
      <c r="C3198" s="3" t="s">
        <v>226</v>
      </c>
      <c r="D3198" s="4">
        <f>HYPERLINK("https://cao.dolgi.msk.ru/account/1060762706/", 1060762706)</f>
        <v>1060762706</v>
      </c>
      <c r="E3198" s="3">
        <v>6636.89</v>
      </c>
    </row>
    <row r="3199" spans="1:5" x14ac:dyDescent="0.25">
      <c r="A3199" s="3" t="s">
        <v>5</v>
      </c>
      <c r="B3199" s="3" t="s">
        <v>767</v>
      </c>
      <c r="C3199" s="3" t="s">
        <v>248</v>
      </c>
      <c r="D3199" s="4">
        <f>HYPERLINK("https://cao.dolgi.msk.ru/account/1060762984/", 1060762984)</f>
        <v>1060762984</v>
      </c>
      <c r="E3199" s="3">
        <v>30646.66</v>
      </c>
    </row>
    <row r="3200" spans="1:5" x14ac:dyDescent="0.25">
      <c r="A3200" s="3" t="s">
        <v>5</v>
      </c>
      <c r="B3200" s="3" t="s">
        <v>767</v>
      </c>
      <c r="C3200" s="3" t="s">
        <v>252</v>
      </c>
      <c r="D3200" s="4">
        <f>HYPERLINK("https://cao.dolgi.msk.ru/account/1060763039/", 1060763039)</f>
        <v>1060763039</v>
      </c>
      <c r="E3200" s="3">
        <v>11115.16</v>
      </c>
    </row>
    <row r="3201" spans="1:5" x14ac:dyDescent="0.25">
      <c r="A3201" s="3" t="s">
        <v>5</v>
      </c>
      <c r="B3201" s="3" t="s">
        <v>768</v>
      </c>
      <c r="C3201" s="3" t="s">
        <v>30</v>
      </c>
      <c r="D3201" s="4">
        <f>HYPERLINK("https://cao.dolgi.msk.ru/account/1060515721/", 1060515721)</f>
        <v>1060515721</v>
      </c>
      <c r="E3201" s="3">
        <v>2741.72</v>
      </c>
    </row>
    <row r="3202" spans="1:5" x14ac:dyDescent="0.25">
      <c r="A3202" s="3" t="s">
        <v>5</v>
      </c>
      <c r="B3202" s="3" t="s">
        <v>768</v>
      </c>
      <c r="C3202" s="3" t="s">
        <v>135</v>
      </c>
      <c r="D3202" s="4">
        <f>HYPERLINK("https://cao.dolgi.msk.ru/account/1060515844/", 1060515844)</f>
        <v>1060515844</v>
      </c>
      <c r="E3202" s="3">
        <v>7650.78</v>
      </c>
    </row>
    <row r="3203" spans="1:5" x14ac:dyDescent="0.25">
      <c r="A3203" s="3" t="s">
        <v>5</v>
      </c>
      <c r="B3203" s="3" t="s">
        <v>768</v>
      </c>
      <c r="C3203" s="3" t="s">
        <v>141</v>
      </c>
      <c r="D3203" s="4">
        <f>HYPERLINK("https://cao.dolgi.msk.ru/account/1060515916/", 1060515916)</f>
        <v>1060515916</v>
      </c>
      <c r="E3203" s="3">
        <v>8492.43</v>
      </c>
    </row>
    <row r="3204" spans="1:5" x14ac:dyDescent="0.25">
      <c r="A3204" s="3" t="s">
        <v>5</v>
      </c>
      <c r="B3204" s="3" t="s">
        <v>768</v>
      </c>
      <c r="C3204" s="3" t="s">
        <v>7</v>
      </c>
      <c r="D3204" s="4">
        <f>HYPERLINK("https://cao.dolgi.msk.ru/account/1060515959/", 1060515959)</f>
        <v>1060515959</v>
      </c>
      <c r="E3204" s="3">
        <v>8262.1</v>
      </c>
    </row>
    <row r="3205" spans="1:5" x14ac:dyDescent="0.25">
      <c r="A3205" s="3" t="s">
        <v>5</v>
      </c>
      <c r="B3205" s="3" t="s">
        <v>768</v>
      </c>
      <c r="C3205" s="3" t="s">
        <v>12</v>
      </c>
      <c r="D3205" s="4">
        <f>HYPERLINK("https://cao.dolgi.msk.ru/account/1060515983/", 1060515983)</f>
        <v>1060515983</v>
      </c>
      <c r="E3205" s="3">
        <v>41299.980000000003</v>
      </c>
    </row>
    <row r="3206" spans="1:5" x14ac:dyDescent="0.25">
      <c r="A3206" s="3" t="s">
        <v>5</v>
      </c>
      <c r="B3206" s="3" t="s">
        <v>768</v>
      </c>
      <c r="C3206" s="3" t="s">
        <v>17</v>
      </c>
      <c r="D3206" s="4">
        <f>HYPERLINK("https://cao.dolgi.msk.ru/account/1060516046/", 1060516046)</f>
        <v>1060516046</v>
      </c>
      <c r="E3206" s="3">
        <v>25306.33</v>
      </c>
    </row>
    <row r="3207" spans="1:5" x14ac:dyDescent="0.25">
      <c r="A3207" s="3" t="s">
        <v>5</v>
      </c>
      <c r="B3207" s="3" t="s">
        <v>768</v>
      </c>
      <c r="C3207" s="3" t="s">
        <v>20</v>
      </c>
      <c r="D3207" s="4">
        <f>HYPERLINK("https://cao.dolgi.msk.ru/account/1060516089/", 1060516089)</f>
        <v>1060516089</v>
      </c>
      <c r="E3207" s="3">
        <v>187324.89</v>
      </c>
    </row>
    <row r="3208" spans="1:5" x14ac:dyDescent="0.25">
      <c r="A3208" s="3" t="s">
        <v>5</v>
      </c>
      <c r="B3208" s="3" t="s">
        <v>768</v>
      </c>
      <c r="C3208" s="3" t="s">
        <v>22</v>
      </c>
      <c r="D3208" s="4">
        <f>HYPERLINK("https://cao.dolgi.msk.ru/account/1060516118/", 1060516118)</f>
        <v>1060516118</v>
      </c>
      <c r="E3208" s="3">
        <v>45599.57</v>
      </c>
    </row>
    <row r="3209" spans="1:5" x14ac:dyDescent="0.25">
      <c r="A3209" s="3" t="s">
        <v>5</v>
      </c>
      <c r="B3209" s="3" t="s">
        <v>768</v>
      </c>
      <c r="C3209" s="3" t="s">
        <v>23</v>
      </c>
      <c r="D3209" s="4">
        <f>HYPERLINK("https://cao.dolgi.msk.ru/account/1060516126/", 1060516126)</f>
        <v>1060516126</v>
      </c>
      <c r="E3209" s="3">
        <v>260535.63</v>
      </c>
    </row>
    <row r="3210" spans="1:5" x14ac:dyDescent="0.25">
      <c r="A3210" s="3" t="s">
        <v>5</v>
      </c>
      <c r="B3210" s="3" t="s">
        <v>768</v>
      </c>
      <c r="C3210" s="3" t="s">
        <v>46</v>
      </c>
      <c r="D3210" s="4">
        <f>HYPERLINK("https://cao.dolgi.msk.ru/account/1060516396/", 1060516396)</f>
        <v>1060516396</v>
      </c>
      <c r="E3210" s="3">
        <v>9192.39</v>
      </c>
    </row>
    <row r="3211" spans="1:5" x14ac:dyDescent="0.25">
      <c r="A3211" s="3" t="s">
        <v>5</v>
      </c>
      <c r="B3211" s="3" t="s">
        <v>768</v>
      </c>
      <c r="C3211" s="3" t="s">
        <v>49</v>
      </c>
      <c r="D3211" s="4">
        <f>HYPERLINK("https://cao.dolgi.msk.ru/account/1060516425/", 1060516425)</f>
        <v>1060516425</v>
      </c>
      <c r="E3211" s="3">
        <v>12005.37</v>
      </c>
    </row>
    <row r="3212" spans="1:5" x14ac:dyDescent="0.25">
      <c r="A3212" s="3" t="s">
        <v>5</v>
      </c>
      <c r="B3212" s="3" t="s">
        <v>768</v>
      </c>
      <c r="C3212" s="3" t="s">
        <v>96</v>
      </c>
      <c r="D3212" s="4">
        <f>HYPERLINK("https://cao.dolgi.msk.ru/account/1060516935/", 1060516935)</f>
        <v>1060516935</v>
      </c>
      <c r="E3212" s="3">
        <v>79750.039999999994</v>
      </c>
    </row>
    <row r="3213" spans="1:5" x14ac:dyDescent="0.25">
      <c r="A3213" s="3" t="s">
        <v>5</v>
      </c>
      <c r="B3213" s="3" t="s">
        <v>769</v>
      </c>
      <c r="C3213" s="3" t="s">
        <v>143</v>
      </c>
      <c r="D3213" s="4">
        <f>HYPERLINK("https://cao.dolgi.msk.ru/account/1060517284/", 1060517284)</f>
        <v>1060517284</v>
      </c>
      <c r="E3213" s="3">
        <v>8584.18</v>
      </c>
    </row>
    <row r="3214" spans="1:5" x14ac:dyDescent="0.25">
      <c r="A3214" s="3" t="s">
        <v>5</v>
      </c>
      <c r="B3214" s="3" t="s">
        <v>769</v>
      </c>
      <c r="C3214" s="3" t="s">
        <v>7</v>
      </c>
      <c r="D3214" s="4">
        <f>HYPERLINK("https://cao.dolgi.msk.ru/account/1060517292/", 1060517292)</f>
        <v>1060517292</v>
      </c>
      <c r="E3214" s="3">
        <v>44559.65</v>
      </c>
    </row>
    <row r="3215" spans="1:5" x14ac:dyDescent="0.25">
      <c r="A3215" s="3" t="s">
        <v>5</v>
      </c>
      <c r="B3215" s="3" t="s">
        <v>769</v>
      </c>
      <c r="C3215" s="3" t="s">
        <v>28</v>
      </c>
      <c r="D3215" s="4">
        <f>HYPERLINK("https://cao.dolgi.msk.ru/account/1060517524/", 1060517524)</f>
        <v>1060517524</v>
      </c>
      <c r="E3215" s="3">
        <v>5285.36</v>
      </c>
    </row>
    <row r="3216" spans="1:5" x14ac:dyDescent="0.25">
      <c r="A3216" s="3" t="s">
        <v>5</v>
      </c>
      <c r="B3216" s="3" t="s">
        <v>769</v>
      </c>
      <c r="C3216" s="3" t="s">
        <v>36</v>
      </c>
      <c r="D3216" s="4">
        <f>HYPERLINK("https://cao.dolgi.msk.ru/account/1060517604/", 1060517604)</f>
        <v>1060517604</v>
      </c>
      <c r="E3216" s="3">
        <v>19655.060000000001</v>
      </c>
    </row>
    <row r="3217" spans="1:5" x14ac:dyDescent="0.25">
      <c r="A3217" s="3" t="s">
        <v>5</v>
      </c>
      <c r="B3217" s="3" t="s">
        <v>769</v>
      </c>
      <c r="C3217" s="3" t="s">
        <v>58</v>
      </c>
      <c r="D3217" s="4">
        <f>HYPERLINK("https://cao.dolgi.msk.ru/account/1060517866/", 1060517866)</f>
        <v>1060517866</v>
      </c>
      <c r="E3217" s="3">
        <v>12607.57</v>
      </c>
    </row>
    <row r="3218" spans="1:5" x14ac:dyDescent="0.25">
      <c r="A3218" s="3" t="s">
        <v>5</v>
      </c>
      <c r="B3218" s="3" t="s">
        <v>769</v>
      </c>
      <c r="C3218" s="3" t="s">
        <v>61</v>
      </c>
      <c r="D3218" s="4">
        <f>HYPERLINK("https://cao.dolgi.msk.ru/account/1060517903/", 1060517903)</f>
        <v>1060517903</v>
      </c>
      <c r="E3218" s="3">
        <v>18640.75</v>
      </c>
    </row>
    <row r="3219" spans="1:5" x14ac:dyDescent="0.25">
      <c r="A3219" s="3" t="s">
        <v>5</v>
      </c>
      <c r="B3219" s="3" t="s">
        <v>769</v>
      </c>
      <c r="C3219" s="3" t="s">
        <v>66</v>
      </c>
      <c r="D3219" s="4">
        <f>HYPERLINK("https://cao.dolgi.msk.ru/account/1060517962/", 1060517962)</f>
        <v>1060517962</v>
      </c>
      <c r="E3219" s="3">
        <v>7405.04</v>
      </c>
    </row>
    <row r="3220" spans="1:5" x14ac:dyDescent="0.25">
      <c r="A3220" s="3" t="s">
        <v>5</v>
      </c>
      <c r="B3220" s="3" t="s">
        <v>769</v>
      </c>
      <c r="C3220" s="3" t="s">
        <v>76</v>
      </c>
      <c r="D3220" s="4">
        <f>HYPERLINK("https://cao.dolgi.msk.ru/account/1060518025/", 1060518025)</f>
        <v>1060518025</v>
      </c>
      <c r="E3220" s="3">
        <v>9094.14</v>
      </c>
    </row>
    <row r="3221" spans="1:5" x14ac:dyDescent="0.25">
      <c r="A3221" s="3" t="s">
        <v>5</v>
      </c>
      <c r="B3221" s="3" t="s">
        <v>769</v>
      </c>
      <c r="C3221" s="3" t="s">
        <v>79</v>
      </c>
      <c r="D3221" s="4">
        <f>HYPERLINK("https://cao.dolgi.msk.ru/account/1060518068/", 1060518068)</f>
        <v>1060518068</v>
      </c>
      <c r="E3221" s="3">
        <v>17623.98</v>
      </c>
    </row>
    <row r="3222" spans="1:5" x14ac:dyDescent="0.25">
      <c r="A3222" s="3" t="s">
        <v>5</v>
      </c>
      <c r="B3222" s="3" t="s">
        <v>769</v>
      </c>
      <c r="C3222" s="3" t="s">
        <v>82</v>
      </c>
      <c r="D3222" s="4">
        <f>HYPERLINK("https://cao.dolgi.msk.ru/account/1060518092/", 1060518092)</f>
        <v>1060518092</v>
      </c>
      <c r="E3222" s="3">
        <v>242120.52</v>
      </c>
    </row>
    <row r="3223" spans="1:5" x14ac:dyDescent="0.25">
      <c r="A3223" s="3" t="s">
        <v>5</v>
      </c>
      <c r="B3223" s="3" t="s">
        <v>770</v>
      </c>
      <c r="C3223" s="3" t="s">
        <v>138</v>
      </c>
      <c r="D3223" s="4">
        <f>HYPERLINK("https://cao.dolgi.msk.ru/account/1060220683/", 1060220683)</f>
        <v>1060220683</v>
      </c>
      <c r="E3223" s="3">
        <v>9929.7099999999991</v>
      </c>
    </row>
    <row r="3224" spans="1:5" x14ac:dyDescent="0.25">
      <c r="A3224" s="3" t="s">
        <v>5</v>
      </c>
      <c r="B3224" s="3" t="s">
        <v>770</v>
      </c>
      <c r="C3224" s="3" t="s">
        <v>19</v>
      </c>
      <c r="D3224" s="4">
        <f>HYPERLINK("https://cao.dolgi.msk.ru/account/1060220886/", 1060220886)</f>
        <v>1060220886</v>
      </c>
      <c r="E3224" s="3">
        <v>17955.23</v>
      </c>
    </row>
    <row r="3225" spans="1:5" x14ac:dyDescent="0.25">
      <c r="A3225" s="3" t="s">
        <v>5</v>
      </c>
      <c r="B3225" s="3" t="s">
        <v>771</v>
      </c>
      <c r="C3225" s="3" t="s">
        <v>17</v>
      </c>
      <c r="D3225" s="4">
        <f>HYPERLINK("https://cao.dolgi.msk.ru/account/1060508652/", 1060508652)</f>
        <v>1060508652</v>
      </c>
      <c r="E3225" s="3">
        <v>5536.55</v>
      </c>
    </row>
    <row r="3226" spans="1:5" x14ac:dyDescent="0.25">
      <c r="A3226" s="3" t="s">
        <v>5</v>
      </c>
      <c r="B3226" s="3" t="s">
        <v>771</v>
      </c>
      <c r="C3226" s="3" t="s">
        <v>27</v>
      </c>
      <c r="D3226" s="4">
        <f>HYPERLINK("https://cao.dolgi.msk.ru/account/1060508775/", 1060508775)</f>
        <v>1060508775</v>
      </c>
      <c r="E3226" s="3">
        <v>11589.91</v>
      </c>
    </row>
    <row r="3227" spans="1:5" x14ac:dyDescent="0.25">
      <c r="A3227" s="3" t="s">
        <v>5</v>
      </c>
      <c r="B3227" s="3" t="s">
        <v>771</v>
      </c>
      <c r="C3227" s="3" t="s">
        <v>31</v>
      </c>
      <c r="D3227" s="4">
        <f>HYPERLINK("https://cao.dolgi.msk.ru/account/1060508804/", 1060508804)</f>
        <v>1060508804</v>
      </c>
      <c r="E3227" s="3">
        <v>6789.46</v>
      </c>
    </row>
    <row r="3228" spans="1:5" x14ac:dyDescent="0.25">
      <c r="A3228" s="3" t="s">
        <v>5</v>
      </c>
      <c r="B3228" s="3" t="s">
        <v>771</v>
      </c>
      <c r="C3228" s="3" t="s">
        <v>38</v>
      </c>
      <c r="D3228" s="4">
        <f>HYPERLINK("https://cao.dolgi.msk.ru/account/1060508898/", 1060508898)</f>
        <v>1060508898</v>
      </c>
      <c r="E3228" s="3">
        <v>10010.030000000001</v>
      </c>
    </row>
    <row r="3229" spans="1:5" x14ac:dyDescent="0.25">
      <c r="A3229" s="3" t="s">
        <v>5</v>
      </c>
      <c r="B3229" s="3" t="s">
        <v>771</v>
      </c>
      <c r="C3229" s="3" t="s">
        <v>58</v>
      </c>
      <c r="D3229" s="4">
        <f>HYPERLINK("https://cao.dolgi.msk.ru/account/1060509137/", 1060509137)</f>
        <v>1060509137</v>
      </c>
      <c r="E3229" s="3">
        <v>35734.36</v>
      </c>
    </row>
    <row r="3230" spans="1:5" x14ac:dyDescent="0.25">
      <c r="A3230" s="3" t="s">
        <v>5</v>
      </c>
      <c r="B3230" s="3" t="s">
        <v>771</v>
      </c>
      <c r="C3230" s="3" t="s">
        <v>59</v>
      </c>
      <c r="D3230" s="4">
        <f>HYPERLINK("https://cao.dolgi.msk.ru/account/1060509145/", 1060509145)</f>
        <v>1060509145</v>
      </c>
      <c r="E3230" s="3">
        <v>9990.6</v>
      </c>
    </row>
    <row r="3231" spans="1:5" x14ac:dyDescent="0.25">
      <c r="A3231" s="3" t="s">
        <v>5</v>
      </c>
      <c r="B3231" s="3" t="s">
        <v>771</v>
      </c>
      <c r="C3231" s="3" t="s">
        <v>63</v>
      </c>
      <c r="D3231" s="4">
        <f>HYPERLINK("https://cao.dolgi.msk.ru/account/1060509196/", 1060509196)</f>
        <v>1060509196</v>
      </c>
      <c r="E3231" s="3">
        <v>4229.2700000000004</v>
      </c>
    </row>
    <row r="3232" spans="1:5" x14ac:dyDescent="0.25">
      <c r="A3232" s="3" t="s">
        <v>5</v>
      </c>
      <c r="B3232" s="3" t="s">
        <v>771</v>
      </c>
      <c r="C3232" s="3" t="s">
        <v>73</v>
      </c>
      <c r="D3232" s="4">
        <f>HYPERLINK("https://cao.dolgi.msk.ru/account/1060509241/", 1060509241)</f>
        <v>1060509241</v>
      </c>
      <c r="E3232" s="3">
        <v>7059.53</v>
      </c>
    </row>
    <row r="3233" spans="1:5" x14ac:dyDescent="0.25">
      <c r="A3233" s="3" t="s">
        <v>5</v>
      </c>
      <c r="B3233" s="3" t="s">
        <v>771</v>
      </c>
      <c r="C3233" s="3" t="s">
        <v>93</v>
      </c>
      <c r="D3233" s="4">
        <f>HYPERLINK("https://cao.dolgi.msk.ru/account/1060509495/", 1060509495)</f>
        <v>1060509495</v>
      </c>
      <c r="E3233" s="3">
        <v>29960.52</v>
      </c>
    </row>
    <row r="3234" spans="1:5" x14ac:dyDescent="0.25">
      <c r="A3234" s="3" t="s">
        <v>5</v>
      </c>
      <c r="B3234" s="3" t="s">
        <v>771</v>
      </c>
      <c r="C3234" s="3" t="s">
        <v>102</v>
      </c>
      <c r="D3234" s="4">
        <f>HYPERLINK("https://cao.dolgi.msk.ru/account/1060509591/", 1060509591)</f>
        <v>1060509591</v>
      </c>
      <c r="E3234" s="3">
        <v>5110.88</v>
      </c>
    </row>
    <row r="3235" spans="1:5" x14ac:dyDescent="0.25">
      <c r="A3235" s="3" t="s">
        <v>5</v>
      </c>
      <c r="B3235" s="3" t="s">
        <v>771</v>
      </c>
      <c r="C3235" s="3" t="s">
        <v>160</v>
      </c>
      <c r="D3235" s="4">
        <f>HYPERLINK("https://cao.dolgi.msk.ru/account/1060509954/", 1060509954)</f>
        <v>1060509954</v>
      </c>
      <c r="E3235" s="3">
        <v>30736.42</v>
      </c>
    </row>
    <row r="3236" spans="1:5" x14ac:dyDescent="0.25">
      <c r="A3236" s="3" t="s">
        <v>5</v>
      </c>
      <c r="B3236" s="3" t="s">
        <v>771</v>
      </c>
      <c r="C3236" s="3" t="s">
        <v>169</v>
      </c>
      <c r="D3236" s="4">
        <f>HYPERLINK("https://cao.dolgi.msk.ru/account/1060510066/", 1060510066)</f>
        <v>1060510066</v>
      </c>
      <c r="E3236" s="3">
        <v>6360.35</v>
      </c>
    </row>
    <row r="3237" spans="1:5" x14ac:dyDescent="0.25">
      <c r="A3237" s="3" t="s">
        <v>5</v>
      </c>
      <c r="B3237" s="3" t="s">
        <v>771</v>
      </c>
      <c r="C3237" s="3" t="s">
        <v>173</v>
      </c>
      <c r="D3237" s="4">
        <f>HYPERLINK("https://cao.dolgi.msk.ru/account/1060510111/", 1060510111)</f>
        <v>1060510111</v>
      </c>
      <c r="E3237" s="3">
        <v>8323.4</v>
      </c>
    </row>
    <row r="3238" spans="1:5" x14ac:dyDescent="0.25">
      <c r="A3238" s="3" t="s">
        <v>5</v>
      </c>
      <c r="B3238" s="3" t="s">
        <v>771</v>
      </c>
      <c r="C3238" s="3" t="s">
        <v>183</v>
      </c>
      <c r="D3238" s="4">
        <f>HYPERLINK("https://cao.dolgi.msk.ru/account/1060510234/", 1060510234)</f>
        <v>1060510234</v>
      </c>
      <c r="E3238" s="3">
        <v>10618.17</v>
      </c>
    </row>
    <row r="3239" spans="1:5" x14ac:dyDescent="0.25">
      <c r="A3239" s="3" t="s">
        <v>5</v>
      </c>
      <c r="B3239" s="3" t="s">
        <v>771</v>
      </c>
      <c r="C3239" s="3" t="s">
        <v>210</v>
      </c>
      <c r="D3239" s="4">
        <f>HYPERLINK("https://cao.dolgi.msk.ru/account/1060510517/", 1060510517)</f>
        <v>1060510517</v>
      </c>
      <c r="E3239" s="3">
        <v>11706.51</v>
      </c>
    </row>
    <row r="3240" spans="1:5" x14ac:dyDescent="0.25">
      <c r="A3240" s="3" t="s">
        <v>5</v>
      </c>
      <c r="B3240" s="3" t="s">
        <v>771</v>
      </c>
      <c r="C3240" s="3" t="s">
        <v>211</v>
      </c>
      <c r="D3240" s="4">
        <f>HYPERLINK("https://cao.dolgi.msk.ru/account/1060510525/", 1060510525)</f>
        <v>1060510525</v>
      </c>
      <c r="E3240" s="3">
        <v>6587.27</v>
      </c>
    </row>
    <row r="3241" spans="1:5" x14ac:dyDescent="0.25">
      <c r="A3241" s="3" t="s">
        <v>5</v>
      </c>
      <c r="B3241" s="3" t="s">
        <v>771</v>
      </c>
      <c r="C3241" s="3" t="s">
        <v>216</v>
      </c>
      <c r="D3241" s="4">
        <f>HYPERLINK("https://cao.dolgi.msk.ru/account/1060510584/", 1060510584)</f>
        <v>1060510584</v>
      </c>
      <c r="E3241" s="3">
        <v>18351.02</v>
      </c>
    </row>
    <row r="3242" spans="1:5" x14ac:dyDescent="0.25">
      <c r="A3242" s="3" t="s">
        <v>5</v>
      </c>
      <c r="B3242" s="3" t="s">
        <v>771</v>
      </c>
      <c r="C3242" s="3" t="s">
        <v>259</v>
      </c>
      <c r="D3242" s="4">
        <f>HYPERLINK("https://cao.dolgi.msk.ru/account/1060511093/", 1060511093)</f>
        <v>1060511093</v>
      </c>
      <c r="E3242" s="3">
        <v>5704.89</v>
      </c>
    </row>
    <row r="3243" spans="1:5" x14ac:dyDescent="0.25">
      <c r="A3243" s="3" t="s">
        <v>5</v>
      </c>
      <c r="B3243" s="3" t="s">
        <v>771</v>
      </c>
      <c r="C3243" s="3" t="s">
        <v>67</v>
      </c>
      <c r="D3243" s="4">
        <f>HYPERLINK("https://cao.dolgi.msk.ru/account/1060511704/", 1060511704)</f>
        <v>1060511704</v>
      </c>
      <c r="E3243" s="3">
        <v>6562.61</v>
      </c>
    </row>
    <row r="3244" spans="1:5" x14ac:dyDescent="0.25">
      <c r="A3244" s="3" t="s">
        <v>5</v>
      </c>
      <c r="B3244" s="3" t="s">
        <v>771</v>
      </c>
      <c r="C3244" s="3" t="s">
        <v>121</v>
      </c>
      <c r="D3244" s="4">
        <f>HYPERLINK("https://cao.dolgi.msk.ru/account/1060511819/", 1060511819)</f>
        <v>1060511819</v>
      </c>
      <c r="E3244" s="3">
        <v>302478.87</v>
      </c>
    </row>
    <row r="3245" spans="1:5" x14ac:dyDescent="0.25">
      <c r="A3245" s="3" t="s">
        <v>5</v>
      </c>
      <c r="B3245" s="3" t="s">
        <v>771</v>
      </c>
      <c r="C3245" s="3" t="s">
        <v>315</v>
      </c>
      <c r="D3245" s="4">
        <f>HYPERLINK("https://cao.dolgi.msk.ru/account/1060512109/", 1060512109)</f>
        <v>1060512109</v>
      </c>
      <c r="E3245" s="3">
        <v>5687.34</v>
      </c>
    </row>
    <row r="3246" spans="1:5" x14ac:dyDescent="0.25">
      <c r="A3246" s="3" t="s">
        <v>5</v>
      </c>
      <c r="B3246" s="3" t="s">
        <v>771</v>
      </c>
      <c r="C3246" s="3" t="s">
        <v>323</v>
      </c>
      <c r="D3246" s="4">
        <f>HYPERLINK("https://cao.dolgi.msk.ru/account/1060512221/", 1060512221)</f>
        <v>1060512221</v>
      </c>
      <c r="E3246" s="3">
        <v>13469.57</v>
      </c>
    </row>
    <row r="3247" spans="1:5" x14ac:dyDescent="0.25">
      <c r="A3247" s="3" t="s">
        <v>5</v>
      </c>
      <c r="B3247" s="3" t="s">
        <v>771</v>
      </c>
      <c r="C3247" s="3" t="s">
        <v>333</v>
      </c>
      <c r="D3247" s="4">
        <f>HYPERLINK("https://cao.dolgi.msk.ru/account/1060512408/", 1060512408)</f>
        <v>1060512408</v>
      </c>
      <c r="E3247" s="3">
        <v>9674.75</v>
      </c>
    </row>
    <row r="3248" spans="1:5" x14ac:dyDescent="0.25">
      <c r="A3248" s="3" t="s">
        <v>5</v>
      </c>
      <c r="B3248" s="3" t="s">
        <v>771</v>
      </c>
      <c r="C3248" s="3" t="s">
        <v>344</v>
      </c>
      <c r="D3248" s="4">
        <f>HYPERLINK("https://cao.dolgi.msk.ru/account/1060512555/", 1060512555)</f>
        <v>1060512555</v>
      </c>
      <c r="E3248" s="3">
        <v>23265.37</v>
      </c>
    </row>
    <row r="3249" spans="1:5" x14ac:dyDescent="0.25">
      <c r="A3249" s="3" t="s">
        <v>5</v>
      </c>
      <c r="B3249" s="3" t="s">
        <v>771</v>
      </c>
      <c r="C3249" s="3" t="s">
        <v>352</v>
      </c>
      <c r="D3249" s="4">
        <f>HYPERLINK("https://cao.dolgi.msk.ru/account/1060512686/", 1060512686)</f>
        <v>1060512686</v>
      </c>
      <c r="E3249" s="3">
        <v>9675.4500000000007</v>
      </c>
    </row>
    <row r="3250" spans="1:5" x14ac:dyDescent="0.25">
      <c r="A3250" s="3" t="s">
        <v>5</v>
      </c>
      <c r="B3250" s="3" t="s">
        <v>771</v>
      </c>
      <c r="C3250" s="3" t="s">
        <v>360</v>
      </c>
      <c r="D3250" s="4">
        <f>HYPERLINK("https://cao.dolgi.msk.ru/account/1060512977/", 1060512977)</f>
        <v>1060512977</v>
      </c>
      <c r="E3250" s="3">
        <v>395265.51</v>
      </c>
    </row>
    <row r="3251" spans="1:5" x14ac:dyDescent="0.25">
      <c r="A3251" s="3" t="s">
        <v>5</v>
      </c>
      <c r="B3251" s="3" t="s">
        <v>771</v>
      </c>
      <c r="C3251" s="3" t="s">
        <v>364</v>
      </c>
      <c r="D3251" s="4">
        <f>HYPERLINK("https://cao.dolgi.msk.ru/account/1060513021/", 1060513021)</f>
        <v>1060513021</v>
      </c>
      <c r="E3251" s="3">
        <v>4785.79</v>
      </c>
    </row>
    <row r="3252" spans="1:5" x14ac:dyDescent="0.25">
      <c r="A3252" s="3" t="s">
        <v>5</v>
      </c>
      <c r="B3252" s="3" t="s">
        <v>771</v>
      </c>
      <c r="C3252" s="3" t="s">
        <v>366</v>
      </c>
      <c r="D3252" s="4">
        <f>HYPERLINK("https://cao.dolgi.msk.ru/account/1060513064/", 1060513064)</f>
        <v>1060513064</v>
      </c>
      <c r="E3252" s="3">
        <v>46647.85</v>
      </c>
    </row>
    <row r="3253" spans="1:5" x14ac:dyDescent="0.25">
      <c r="A3253" s="3" t="s">
        <v>5</v>
      </c>
      <c r="B3253" s="3" t="s">
        <v>771</v>
      </c>
      <c r="C3253" s="3" t="s">
        <v>367</v>
      </c>
      <c r="D3253" s="4">
        <f>HYPERLINK("https://cao.dolgi.msk.ru/account/1060513101/", 1060513101)</f>
        <v>1060513101</v>
      </c>
      <c r="E3253" s="3">
        <v>8091.15</v>
      </c>
    </row>
    <row r="3254" spans="1:5" x14ac:dyDescent="0.25">
      <c r="A3254" s="3" t="s">
        <v>5</v>
      </c>
      <c r="B3254" s="3" t="s">
        <v>771</v>
      </c>
      <c r="C3254" s="3" t="s">
        <v>369</v>
      </c>
      <c r="D3254" s="4">
        <f>HYPERLINK("https://cao.dolgi.msk.ru/account/1060513144/", 1060513144)</f>
        <v>1060513144</v>
      </c>
      <c r="E3254" s="3">
        <v>9670.64</v>
      </c>
    </row>
    <row r="3255" spans="1:5" x14ac:dyDescent="0.25">
      <c r="A3255" s="3" t="s">
        <v>5</v>
      </c>
      <c r="B3255" s="3" t="s">
        <v>771</v>
      </c>
      <c r="C3255" s="3" t="s">
        <v>373</v>
      </c>
      <c r="D3255" s="4">
        <f>HYPERLINK("https://cao.dolgi.msk.ru/account/1060513216/", 1060513216)</f>
        <v>1060513216</v>
      </c>
      <c r="E3255" s="3">
        <v>3809.52</v>
      </c>
    </row>
    <row r="3256" spans="1:5" x14ac:dyDescent="0.25">
      <c r="A3256" s="3" t="s">
        <v>5</v>
      </c>
      <c r="B3256" s="3" t="s">
        <v>771</v>
      </c>
      <c r="C3256" s="3" t="s">
        <v>377</v>
      </c>
      <c r="D3256" s="4">
        <f>HYPERLINK("https://cao.dolgi.msk.ru/account/1060513275/", 1060513275)</f>
        <v>1060513275</v>
      </c>
      <c r="E3256" s="3">
        <v>14170.99</v>
      </c>
    </row>
    <row r="3257" spans="1:5" x14ac:dyDescent="0.25">
      <c r="A3257" s="3" t="s">
        <v>5</v>
      </c>
      <c r="B3257" s="3" t="s">
        <v>771</v>
      </c>
      <c r="C3257" s="3" t="s">
        <v>379</v>
      </c>
      <c r="D3257" s="4">
        <f>HYPERLINK("https://cao.dolgi.msk.ru/account/1060513304/", 1060513304)</f>
        <v>1060513304</v>
      </c>
      <c r="E3257" s="3">
        <v>4972.3</v>
      </c>
    </row>
    <row r="3258" spans="1:5" x14ac:dyDescent="0.25">
      <c r="A3258" s="3" t="s">
        <v>5</v>
      </c>
      <c r="B3258" s="3" t="s">
        <v>771</v>
      </c>
      <c r="C3258" s="3" t="s">
        <v>390</v>
      </c>
      <c r="D3258" s="4">
        <f>HYPERLINK("https://cao.dolgi.msk.ru/account/1060513515/", 1060513515)</f>
        <v>1060513515</v>
      </c>
      <c r="E3258" s="3">
        <v>9359.2000000000007</v>
      </c>
    </row>
    <row r="3259" spans="1:5" x14ac:dyDescent="0.25">
      <c r="A3259" s="3" t="s">
        <v>5</v>
      </c>
      <c r="B3259" s="3" t="s">
        <v>771</v>
      </c>
      <c r="C3259" s="3" t="s">
        <v>393</v>
      </c>
      <c r="D3259" s="4">
        <f>HYPERLINK("https://cao.dolgi.msk.ru/account/1060513638/", 1060513638)</f>
        <v>1060513638</v>
      </c>
      <c r="E3259" s="3">
        <v>5529.02</v>
      </c>
    </row>
    <row r="3260" spans="1:5" x14ac:dyDescent="0.25">
      <c r="A3260" s="3" t="s">
        <v>5</v>
      </c>
      <c r="B3260" s="3" t="s">
        <v>771</v>
      </c>
      <c r="C3260" s="3" t="s">
        <v>394</v>
      </c>
      <c r="D3260" s="4">
        <f>HYPERLINK("https://cao.dolgi.msk.ru/account/1060513662/", 1060513662)</f>
        <v>1060513662</v>
      </c>
      <c r="E3260" s="3">
        <v>19721.82</v>
      </c>
    </row>
    <row r="3261" spans="1:5" x14ac:dyDescent="0.25">
      <c r="A3261" s="3" t="s">
        <v>5</v>
      </c>
      <c r="B3261" s="3" t="s">
        <v>771</v>
      </c>
      <c r="C3261" s="3" t="s">
        <v>397</v>
      </c>
      <c r="D3261" s="4">
        <f>HYPERLINK("https://cao.dolgi.msk.ru/account/1060513742/", 1060513742)</f>
        <v>1060513742</v>
      </c>
      <c r="E3261" s="3">
        <v>10480.969999999999</v>
      </c>
    </row>
    <row r="3262" spans="1:5" x14ac:dyDescent="0.25">
      <c r="A3262" s="3" t="s">
        <v>5</v>
      </c>
      <c r="B3262" s="3" t="s">
        <v>771</v>
      </c>
      <c r="C3262" s="3" t="s">
        <v>398</v>
      </c>
      <c r="D3262" s="4">
        <f>HYPERLINK("https://cao.dolgi.msk.ru/account/1060513769/", 1060513769)</f>
        <v>1060513769</v>
      </c>
      <c r="E3262" s="3">
        <v>45533.8</v>
      </c>
    </row>
    <row r="3263" spans="1:5" x14ac:dyDescent="0.25">
      <c r="A3263" s="3" t="s">
        <v>5</v>
      </c>
      <c r="B3263" s="3" t="s">
        <v>771</v>
      </c>
      <c r="C3263" s="3" t="s">
        <v>416</v>
      </c>
      <c r="D3263" s="4">
        <f>HYPERLINK("https://cao.dolgi.msk.ru/account/1060514067/", 1060514067)</f>
        <v>1060514067</v>
      </c>
      <c r="E3263" s="3">
        <v>9388.93</v>
      </c>
    </row>
    <row r="3264" spans="1:5" x14ac:dyDescent="0.25">
      <c r="A3264" s="3" t="s">
        <v>5</v>
      </c>
      <c r="B3264" s="3" t="s">
        <v>771</v>
      </c>
      <c r="C3264" s="3" t="s">
        <v>424</v>
      </c>
      <c r="D3264" s="4">
        <f>HYPERLINK("https://cao.dolgi.msk.ru/account/1060514286/", 1060514286)</f>
        <v>1060514286</v>
      </c>
      <c r="E3264" s="3">
        <v>49192.23</v>
      </c>
    </row>
    <row r="3265" spans="1:5" x14ac:dyDescent="0.25">
      <c r="A3265" s="3" t="s">
        <v>5</v>
      </c>
      <c r="B3265" s="3" t="s">
        <v>772</v>
      </c>
      <c r="C3265" s="3" t="s">
        <v>140</v>
      </c>
      <c r="D3265" s="4">
        <f>HYPERLINK("https://cao.dolgi.msk.ru/account/1060222603/", 1060222603)</f>
        <v>1060222603</v>
      </c>
      <c r="E3265" s="3">
        <v>19712.810000000001</v>
      </c>
    </row>
    <row r="3266" spans="1:5" x14ac:dyDescent="0.25">
      <c r="A3266" s="3" t="s">
        <v>5</v>
      </c>
      <c r="B3266" s="3" t="s">
        <v>772</v>
      </c>
      <c r="C3266" s="3" t="s">
        <v>143</v>
      </c>
      <c r="D3266" s="4">
        <f>HYPERLINK("https://cao.dolgi.msk.ru/account/1060222646/", 1060222646)</f>
        <v>1060222646</v>
      </c>
      <c r="E3266" s="3">
        <v>13604.16</v>
      </c>
    </row>
    <row r="3267" spans="1:5" x14ac:dyDescent="0.25">
      <c r="A3267" s="3" t="s">
        <v>5</v>
      </c>
      <c r="B3267" s="3" t="s">
        <v>772</v>
      </c>
      <c r="C3267" s="3" t="s">
        <v>10</v>
      </c>
      <c r="D3267" s="4">
        <f>HYPERLINK("https://cao.dolgi.msk.ru/account/1060222662/", 1060222662)</f>
        <v>1060222662</v>
      </c>
      <c r="E3267" s="3">
        <v>13567.53</v>
      </c>
    </row>
    <row r="3268" spans="1:5" x14ac:dyDescent="0.25">
      <c r="A3268" s="3" t="s">
        <v>5</v>
      </c>
      <c r="B3268" s="3" t="s">
        <v>772</v>
      </c>
      <c r="C3268" s="3" t="s">
        <v>11</v>
      </c>
      <c r="D3268" s="4">
        <f>HYPERLINK("https://cao.dolgi.msk.ru/account/1060222689/", 1060222689)</f>
        <v>1060222689</v>
      </c>
      <c r="E3268" s="3">
        <v>10976.99</v>
      </c>
    </row>
    <row r="3269" spans="1:5" x14ac:dyDescent="0.25">
      <c r="A3269" s="3" t="s">
        <v>5</v>
      </c>
      <c r="B3269" s="3" t="s">
        <v>772</v>
      </c>
      <c r="C3269" s="3" t="s">
        <v>18</v>
      </c>
      <c r="D3269" s="4">
        <f>HYPERLINK("https://cao.dolgi.msk.ru/account/1060222785/", 1060222785)</f>
        <v>1060222785</v>
      </c>
      <c r="E3269" s="3">
        <v>45128.47</v>
      </c>
    </row>
    <row r="3270" spans="1:5" x14ac:dyDescent="0.25">
      <c r="A3270" s="3" t="s">
        <v>5</v>
      </c>
      <c r="B3270" s="3" t="s">
        <v>772</v>
      </c>
      <c r="C3270" s="3" t="s">
        <v>22</v>
      </c>
      <c r="D3270" s="4">
        <f>HYPERLINK("https://cao.dolgi.msk.ru/account/1060222822/", 1060222822)</f>
        <v>1060222822</v>
      </c>
      <c r="E3270" s="3">
        <v>5046.54</v>
      </c>
    </row>
    <row r="3271" spans="1:5" x14ac:dyDescent="0.25">
      <c r="A3271" s="3" t="s">
        <v>5</v>
      </c>
      <c r="B3271" s="3" t="s">
        <v>772</v>
      </c>
      <c r="C3271" s="3" t="s">
        <v>42</v>
      </c>
      <c r="D3271" s="4">
        <f>HYPERLINK("https://cao.dolgi.msk.ru/account/1060223075/", 1060223075)</f>
        <v>1060223075</v>
      </c>
      <c r="E3271" s="3">
        <v>7851.16</v>
      </c>
    </row>
    <row r="3272" spans="1:5" x14ac:dyDescent="0.25">
      <c r="A3272" s="3" t="s">
        <v>5</v>
      </c>
      <c r="B3272" s="3" t="s">
        <v>772</v>
      </c>
      <c r="C3272" s="3" t="s">
        <v>49</v>
      </c>
      <c r="D3272" s="4">
        <f>HYPERLINK("https://cao.dolgi.msk.ru/account/1060223155/", 1060223155)</f>
        <v>1060223155</v>
      </c>
      <c r="E3272" s="3">
        <v>7431.01</v>
      </c>
    </row>
    <row r="3273" spans="1:5" x14ac:dyDescent="0.25">
      <c r="A3273" s="3" t="s">
        <v>5</v>
      </c>
      <c r="B3273" s="3" t="s">
        <v>772</v>
      </c>
      <c r="C3273" s="3" t="s">
        <v>57</v>
      </c>
      <c r="D3273" s="4">
        <f>HYPERLINK("https://cao.dolgi.msk.ru/account/1060223243/", 1060223243)</f>
        <v>1060223243</v>
      </c>
      <c r="E3273" s="3">
        <v>6189.5</v>
      </c>
    </row>
    <row r="3274" spans="1:5" x14ac:dyDescent="0.25">
      <c r="A3274" s="3" t="s">
        <v>5</v>
      </c>
      <c r="B3274" s="3" t="s">
        <v>772</v>
      </c>
      <c r="C3274" s="3" t="s">
        <v>102</v>
      </c>
      <c r="D3274" s="4">
        <f>HYPERLINK("https://cao.dolgi.msk.ru/account/1060223753/", 1060223753)</f>
        <v>1060223753</v>
      </c>
      <c r="E3274" s="3">
        <v>147931.31</v>
      </c>
    </row>
    <row r="3275" spans="1:5" x14ac:dyDescent="0.25">
      <c r="A3275" s="3" t="s">
        <v>5</v>
      </c>
      <c r="B3275" s="3" t="s">
        <v>772</v>
      </c>
      <c r="C3275" s="3" t="s">
        <v>116</v>
      </c>
      <c r="D3275" s="4">
        <f>HYPERLINK("https://cao.dolgi.msk.ru/account/1060223956/", 1060223956)</f>
        <v>1060223956</v>
      </c>
      <c r="E3275" s="3">
        <v>6599.36</v>
      </c>
    </row>
    <row r="3276" spans="1:5" x14ac:dyDescent="0.25">
      <c r="A3276" s="3" t="s">
        <v>5</v>
      </c>
      <c r="B3276" s="3" t="s">
        <v>772</v>
      </c>
      <c r="C3276" s="3" t="s">
        <v>176</v>
      </c>
      <c r="D3276" s="4">
        <f>HYPERLINK("https://cao.dolgi.msk.ru/account/1060895592/", 1060895592)</f>
        <v>1060895592</v>
      </c>
      <c r="E3276" s="3">
        <v>15183.25</v>
      </c>
    </row>
    <row r="3277" spans="1:5" x14ac:dyDescent="0.25">
      <c r="A3277" s="3" t="s">
        <v>5</v>
      </c>
      <c r="B3277" s="3" t="s">
        <v>772</v>
      </c>
      <c r="C3277" s="3" t="s">
        <v>204</v>
      </c>
      <c r="D3277" s="4">
        <f>HYPERLINK("https://cao.dolgi.msk.ru/account/1060224641/", 1060224641)</f>
        <v>1060224641</v>
      </c>
      <c r="E3277" s="3">
        <v>33033.370000000003</v>
      </c>
    </row>
    <row r="3278" spans="1:5" x14ac:dyDescent="0.25">
      <c r="A3278" s="3" t="s">
        <v>5</v>
      </c>
      <c r="B3278" s="3" t="s">
        <v>772</v>
      </c>
      <c r="C3278" s="3" t="s">
        <v>210</v>
      </c>
      <c r="D3278" s="4">
        <f>HYPERLINK("https://cao.dolgi.msk.ru/account/1060224676/", 1060224676)</f>
        <v>1060224676</v>
      </c>
      <c r="E3278" s="3">
        <v>23433.439999999999</v>
      </c>
    </row>
    <row r="3279" spans="1:5" x14ac:dyDescent="0.25">
      <c r="A3279" s="3" t="s">
        <v>5</v>
      </c>
      <c r="B3279" s="3" t="s">
        <v>772</v>
      </c>
      <c r="C3279" s="3" t="s">
        <v>218</v>
      </c>
      <c r="D3279" s="4">
        <f>HYPERLINK("https://cao.dolgi.msk.ru/account/1060224764/", 1060224764)</f>
        <v>1060224764</v>
      </c>
      <c r="E3279" s="3">
        <v>12662.77</v>
      </c>
    </row>
    <row r="3280" spans="1:5" x14ac:dyDescent="0.25">
      <c r="A3280" s="3" t="s">
        <v>5</v>
      </c>
      <c r="B3280" s="3" t="s">
        <v>772</v>
      </c>
      <c r="C3280" s="3" t="s">
        <v>225</v>
      </c>
      <c r="D3280" s="4">
        <f>HYPERLINK("https://cao.dolgi.msk.ru/account/1060224852/", 1060224852)</f>
        <v>1060224852</v>
      </c>
      <c r="E3280" s="3">
        <v>12502.78</v>
      </c>
    </row>
    <row r="3281" spans="1:5" x14ac:dyDescent="0.25">
      <c r="A3281" s="3" t="s">
        <v>5</v>
      </c>
      <c r="B3281" s="3" t="s">
        <v>772</v>
      </c>
      <c r="C3281" s="3" t="s">
        <v>257</v>
      </c>
      <c r="D3281" s="4">
        <f>HYPERLINK("https://cao.dolgi.msk.ru/account/1060225257/", 1060225257)</f>
        <v>1060225257</v>
      </c>
      <c r="E3281" s="3">
        <v>12340.55</v>
      </c>
    </row>
    <row r="3282" spans="1:5" x14ac:dyDescent="0.25">
      <c r="A3282" s="3" t="s">
        <v>5</v>
      </c>
      <c r="B3282" s="3" t="s">
        <v>772</v>
      </c>
      <c r="C3282" s="3" t="s">
        <v>268</v>
      </c>
      <c r="D3282" s="4">
        <f>HYPERLINK("https://cao.dolgi.msk.ru/account/1060225409/", 1060225409)</f>
        <v>1060225409</v>
      </c>
      <c r="E3282" s="3">
        <v>14827.56</v>
      </c>
    </row>
    <row r="3283" spans="1:5" x14ac:dyDescent="0.25">
      <c r="A3283" s="3" t="s">
        <v>5</v>
      </c>
      <c r="B3283" s="3" t="s">
        <v>772</v>
      </c>
      <c r="C3283" s="3" t="s">
        <v>269</v>
      </c>
      <c r="D3283" s="4">
        <f>HYPERLINK("https://cao.dolgi.msk.ru/account/1060225417/", 1060225417)</f>
        <v>1060225417</v>
      </c>
      <c r="E3283" s="3">
        <v>12573.42</v>
      </c>
    </row>
    <row r="3284" spans="1:5" x14ac:dyDescent="0.25">
      <c r="A3284" s="3" t="s">
        <v>5</v>
      </c>
      <c r="B3284" s="3" t="s">
        <v>773</v>
      </c>
      <c r="C3284" s="3" t="s">
        <v>110</v>
      </c>
      <c r="D3284" s="4">
        <f>HYPERLINK("https://cao.dolgi.msk.ru/account/1060072545/", 1060072545)</f>
        <v>1060072545</v>
      </c>
      <c r="E3284" s="3">
        <v>7497.35</v>
      </c>
    </row>
    <row r="3285" spans="1:5" x14ac:dyDescent="0.25">
      <c r="A3285" s="3" t="s">
        <v>5</v>
      </c>
      <c r="B3285" s="3" t="s">
        <v>774</v>
      </c>
      <c r="C3285" s="3" t="s">
        <v>105</v>
      </c>
      <c r="D3285" s="4">
        <f>HYPERLINK("https://cao.dolgi.msk.ru/account/1060435502/", 1060435502)</f>
        <v>1060435502</v>
      </c>
      <c r="E3285" s="3">
        <v>14268.46</v>
      </c>
    </row>
    <row r="3286" spans="1:5" x14ac:dyDescent="0.25">
      <c r="A3286" s="3" t="s">
        <v>5</v>
      </c>
      <c r="B3286" s="3" t="s">
        <v>774</v>
      </c>
      <c r="C3286" s="3" t="s">
        <v>132</v>
      </c>
      <c r="D3286" s="4">
        <f>HYPERLINK("https://cao.dolgi.msk.ru/account/1060435529/", 1060435529)</f>
        <v>1060435529</v>
      </c>
      <c r="E3286" s="3">
        <v>28447.45</v>
      </c>
    </row>
    <row r="3287" spans="1:5" x14ac:dyDescent="0.25">
      <c r="A3287" s="3" t="s">
        <v>5</v>
      </c>
      <c r="B3287" s="3" t="s">
        <v>774</v>
      </c>
      <c r="C3287" s="3" t="s">
        <v>10</v>
      </c>
      <c r="D3287" s="4">
        <f>HYPERLINK("https://cao.dolgi.msk.ru/account/1060435684/", 1060435684)</f>
        <v>1060435684</v>
      </c>
      <c r="E3287" s="3">
        <v>8962.41</v>
      </c>
    </row>
    <row r="3288" spans="1:5" x14ac:dyDescent="0.25">
      <c r="A3288" s="3" t="s">
        <v>5</v>
      </c>
      <c r="B3288" s="3" t="s">
        <v>774</v>
      </c>
      <c r="C3288" s="3" t="s">
        <v>13</v>
      </c>
      <c r="D3288" s="4">
        <f>HYPERLINK("https://cao.dolgi.msk.ru/account/1060435721/", 1060435721)</f>
        <v>1060435721</v>
      </c>
      <c r="E3288" s="3">
        <v>5188.5</v>
      </c>
    </row>
    <row r="3289" spans="1:5" x14ac:dyDescent="0.25">
      <c r="A3289" s="3" t="s">
        <v>5</v>
      </c>
      <c r="B3289" s="3" t="s">
        <v>774</v>
      </c>
      <c r="C3289" s="3" t="s">
        <v>16</v>
      </c>
      <c r="D3289" s="4">
        <f>HYPERLINK("https://cao.dolgi.msk.ru/account/1060435772/", 1060435772)</f>
        <v>1060435772</v>
      </c>
      <c r="E3289" s="3">
        <v>165929.25</v>
      </c>
    </row>
    <row r="3290" spans="1:5" x14ac:dyDescent="0.25">
      <c r="A3290" s="3" t="s">
        <v>5</v>
      </c>
      <c r="B3290" s="3" t="s">
        <v>774</v>
      </c>
      <c r="C3290" s="3" t="s">
        <v>17</v>
      </c>
      <c r="D3290" s="4">
        <f>HYPERLINK("https://cao.dolgi.msk.ru/account/1060435799/", 1060435799)</f>
        <v>1060435799</v>
      </c>
      <c r="E3290" s="3">
        <v>14042.79</v>
      </c>
    </row>
    <row r="3291" spans="1:5" x14ac:dyDescent="0.25">
      <c r="A3291" s="3" t="s">
        <v>5</v>
      </c>
      <c r="B3291" s="3" t="s">
        <v>774</v>
      </c>
      <c r="C3291" s="3" t="s">
        <v>304</v>
      </c>
      <c r="D3291" s="4">
        <f>HYPERLINK("https://cao.dolgi.msk.ru/account/1060436134/", 1060436134)</f>
        <v>1060436134</v>
      </c>
      <c r="E3291" s="3">
        <v>65180.54</v>
      </c>
    </row>
    <row r="3292" spans="1:5" x14ac:dyDescent="0.25">
      <c r="A3292" s="3" t="s">
        <v>5</v>
      </c>
      <c r="B3292" s="3" t="s">
        <v>774</v>
      </c>
      <c r="C3292" s="3" t="s">
        <v>307</v>
      </c>
      <c r="D3292" s="4">
        <f>HYPERLINK("https://cao.dolgi.msk.ru/account/1060435924/", 1060435924)</f>
        <v>1060435924</v>
      </c>
      <c r="E3292" s="3">
        <v>29549.42</v>
      </c>
    </row>
    <row r="3293" spans="1:5" x14ac:dyDescent="0.25">
      <c r="A3293" s="3" t="s">
        <v>5</v>
      </c>
      <c r="B3293" s="3" t="s">
        <v>775</v>
      </c>
      <c r="C3293" s="3" t="s">
        <v>168</v>
      </c>
      <c r="D3293" s="4">
        <f>HYPERLINK("https://cao.dolgi.msk.ru/account/1060436425/", 1060436425)</f>
        <v>1060436425</v>
      </c>
      <c r="E3293" s="3">
        <v>68437.36</v>
      </c>
    </row>
    <row r="3294" spans="1:5" x14ac:dyDescent="0.25">
      <c r="A3294" s="3" t="s">
        <v>5</v>
      </c>
      <c r="B3294" s="3" t="s">
        <v>775</v>
      </c>
      <c r="C3294" s="3" t="s">
        <v>176</v>
      </c>
      <c r="D3294" s="4">
        <f>HYPERLINK("https://cao.dolgi.msk.ru/account/1060436556/", 1060436556)</f>
        <v>1060436556</v>
      </c>
      <c r="E3294" s="3">
        <v>5708.83</v>
      </c>
    </row>
    <row r="3295" spans="1:5" x14ac:dyDescent="0.25">
      <c r="A3295" s="3" t="s">
        <v>5</v>
      </c>
      <c r="B3295" s="3" t="s">
        <v>775</v>
      </c>
      <c r="C3295" s="3" t="s">
        <v>355</v>
      </c>
      <c r="D3295" s="4">
        <f>HYPERLINK("https://cao.dolgi.msk.ru/account/1060436732/", 1060436732)</f>
        <v>1060436732</v>
      </c>
      <c r="E3295" s="3">
        <v>14503.01</v>
      </c>
    </row>
    <row r="3296" spans="1:5" x14ac:dyDescent="0.25">
      <c r="A3296" s="3" t="s">
        <v>5</v>
      </c>
      <c r="B3296" s="3" t="s">
        <v>775</v>
      </c>
      <c r="C3296" s="3" t="s">
        <v>356</v>
      </c>
      <c r="D3296" s="4">
        <f>HYPERLINK("https://cao.dolgi.msk.ru/account/1060436791/", 1060436791)</f>
        <v>1060436791</v>
      </c>
      <c r="E3296" s="3">
        <v>10357.67</v>
      </c>
    </row>
    <row r="3297" spans="1:5" x14ac:dyDescent="0.25">
      <c r="A3297" s="3" t="s">
        <v>5</v>
      </c>
      <c r="B3297" s="3" t="s">
        <v>775</v>
      </c>
      <c r="C3297" s="3" t="s">
        <v>357</v>
      </c>
      <c r="D3297" s="4">
        <f>HYPERLINK("https://cao.dolgi.msk.ru/account/1060436804/", 1060436804)</f>
        <v>1060436804</v>
      </c>
      <c r="E3297" s="3">
        <v>28033.040000000001</v>
      </c>
    </row>
    <row r="3298" spans="1:5" x14ac:dyDescent="0.25">
      <c r="A3298" s="3" t="s">
        <v>5</v>
      </c>
      <c r="B3298" s="3" t="s">
        <v>776</v>
      </c>
      <c r="C3298" s="3" t="s">
        <v>190</v>
      </c>
      <c r="D3298" s="4">
        <f>HYPERLINK("https://cao.dolgi.msk.ru/account/1060437065/", 1060437065)</f>
        <v>1060437065</v>
      </c>
      <c r="E3298" s="3">
        <v>335602.96</v>
      </c>
    </row>
    <row r="3299" spans="1:5" x14ac:dyDescent="0.25">
      <c r="A3299" s="3" t="s">
        <v>5</v>
      </c>
      <c r="B3299" s="3" t="s">
        <v>776</v>
      </c>
      <c r="C3299" s="3" t="s">
        <v>193</v>
      </c>
      <c r="D3299" s="4">
        <f>HYPERLINK("https://cao.dolgi.msk.ru/account/1060437129/", 1060437129)</f>
        <v>1060437129</v>
      </c>
      <c r="E3299" s="3">
        <v>17037.59</v>
      </c>
    </row>
    <row r="3300" spans="1:5" x14ac:dyDescent="0.25">
      <c r="A3300" s="3" t="s">
        <v>5</v>
      </c>
      <c r="B3300" s="3" t="s">
        <v>776</v>
      </c>
      <c r="C3300" s="3" t="s">
        <v>197</v>
      </c>
      <c r="D3300" s="4">
        <f>HYPERLINK("https://cao.dolgi.msk.ru/account/1060437188/", 1060437188)</f>
        <v>1060437188</v>
      </c>
      <c r="E3300" s="3">
        <v>8721.65</v>
      </c>
    </row>
    <row r="3301" spans="1:5" x14ac:dyDescent="0.25">
      <c r="A3301" s="3" t="s">
        <v>5</v>
      </c>
      <c r="B3301" s="3" t="s">
        <v>776</v>
      </c>
      <c r="C3301" s="3" t="s">
        <v>212</v>
      </c>
      <c r="D3301" s="4">
        <f>HYPERLINK("https://cao.dolgi.msk.ru/account/1060437292/", 1060437292)</f>
        <v>1060437292</v>
      </c>
      <c r="E3301" s="3">
        <v>28860.58</v>
      </c>
    </row>
    <row r="3302" spans="1:5" x14ac:dyDescent="0.25">
      <c r="A3302" s="3" t="s">
        <v>5</v>
      </c>
      <c r="B3302" s="3" t="s">
        <v>776</v>
      </c>
      <c r="C3302" s="3" t="s">
        <v>218</v>
      </c>
      <c r="D3302" s="4">
        <f>HYPERLINK("https://cao.dolgi.msk.ru/account/1060437399/", 1060437399)</f>
        <v>1060437399</v>
      </c>
      <c r="E3302" s="3">
        <v>23181.57</v>
      </c>
    </row>
    <row r="3303" spans="1:5" x14ac:dyDescent="0.25">
      <c r="A3303" s="3" t="s">
        <v>5</v>
      </c>
      <c r="B3303" s="3" t="s">
        <v>776</v>
      </c>
      <c r="C3303" s="3" t="s">
        <v>225</v>
      </c>
      <c r="D3303" s="4">
        <f>HYPERLINK("https://cao.dolgi.msk.ru/account/1060437444/", 1060437444)</f>
        <v>1060437444</v>
      </c>
      <c r="E3303" s="3">
        <v>74743.850000000006</v>
      </c>
    </row>
    <row r="3304" spans="1:5" x14ac:dyDescent="0.25">
      <c r="A3304" s="3" t="s">
        <v>5</v>
      </c>
      <c r="B3304" s="3" t="s">
        <v>776</v>
      </c>
      <c r="C3304" s="3" t="s">
        <v>231</v>
      </c>
      <c r="D3304" s="4">
        <f>HYPERLINK("https://cao.dolgi.msk.ru/account/1060437524/", 1060437524)</f>
        <v>1060437524</v>
      </c>
      <c r="E3304" s="3">
        <v>93451.06</v>
      </c>
    </row>
    <row r="3305" spans="1:5" x14ac:dyDescent="0.25">
      <c r="A3305" s="3" t="s">
        <v>5</v>
      </c>
      <c r="B3305" s="3" t="s">
        <v>776</v>
      </c>
      <c r="C3305" s="3" t="s">
        <v>321</v>
      </c>
      <c r="D3305" s="4">
        <f>HYPERLINK("https://cao.dolgi.msk.ru/account/1060437591/", 1060437591)</f>
        <v>1060437591</v>
      </c>
      <c r="E3305" s="3">
        <v>16818.82</v>
      </c>
    </row>
    <row r="3306" spans="1:5" x14ac:dyDescent="0.25">
      <c r="A3306" s="3" t="s">
        <v>5</v>
      </c>
      <c r="B3306" s="3" t="s">
        <v>776</v>
      </c>
      <c r="C3306" s="3" t="s">
        <v>326</v>
      </c>
      <c r="D3306" s="4">
        <f>HYPERLINK("https://cao.dolgi.msk.ru/account/1060437719/", 1060437719)</f>
        <v>1060437719</v>
      </c>
      <c r="E3306" s="3">
        <v>8473.11</v>
      </c>
    </row>
    <row r="3307" spans="1:5" x14ac:dyDescent="0.25">
      <c r="A3307" s="3" t="s">
        <v>5</v>
      </c>
      <c r="B3307" s="3" t="s">
        <v>776</v>
      </c>
      <c r="C3307" s="3" t="s">
        <v>328</v>
      </c>
      <c r="D3307" s="4">
        <f>HYPERLINK("https://cao.dolgi.msk.ru/account/1060437743/", 1060437743)</f>
        <v>1060437743</v>
      </c>
      <c r="E3307" s="3">
        <v>171517.84</v>
      </c>
    </row>
    <row r="3308" spans="1:5" x14ac:dyDescent="0.25">
      <c r="A3308" s="3" t="s">
        <v>5</v>
      </c>
      <c r="B3308" s="3" t="s">
        <v>776</v>
      </c>
      <c r="C3308" s="3" t="s">
        <v>338</v>
      </c>
      <c r="D3308" s="4">
        <f>HYPERLINK("https://cao.dolgi.msk.ru/account/1060437903/", 1060437903)</f>
        <v>1060437903</v>
      </c>
      <c r="E3308" s="3">
        <v>150873.26</v>
      </c>
    </row>
    <row r="3309" spans="1:5" x14ac:dyDescent="0.25">
      <c r="A3309" s="3" t="s">
        <v>5</v>
      </c>
      <c r="B3309" s="3" t="s">
        <v>777</v>
      </c>
      <c r="C3309" s="3" t="s">
        <v>257</v>
      </c>
      <c r="D3309" s="4">
        <f>HYPERLINK("https://cao.dolgi.msk.ru/account/1060438455/", 1060438455)</f>
        <v>1060438455</v>
      </c>
      <c r="E3309" s="3">
        <v>214748.3</v>
      </c>
    </row>
    <row r="3310" spans="1:5" x14ac:dyDescent="0.25">
      <c r="A3310" s="3" t="s">
        <v>5</v>
      </c>
      <c r="B3310" s="3" t="s">
        <v>777</v>
      </c>
      <c r="C3310" s="3" t="s">
        <v>257</v>
      </c>
      <c r="D3310" s="4">
        <f>HYPERLINK("https://cao.dolgi.msk.ru/account/1060438463/", 1060438463)</f>
        <v>1060438463</v>
      </c>
      <c r="E3310" s="3">
        <v>27792.51</v>
      </c>
    </row>
    <row r="3311" spans="1:5" x14ac:dyDescent="0.25">
      <c r="A3311" s="3" t="s">
        <v>5</v>
      </c>
      <c r="B3311" s="3" t="s">
        <v>777</v>
      </c>
      <c r="C3311" s="3" t="s">
        <v>261</v>
      </c>
      <c r="D3311" s="4">
        <f>HYPERLINK("https://cao.dolgi.msk.ru/account/1060438527/", 1060438527)</f>
        <v>1060438527</v>
      </c>
      <c r="E3311" s="3">
        <v>122267.59</v>
      </c>
    </row>
    <row r="3312" spans="1:5" x14ac:dyDescent="0.25">
      <c r="A3312" s="3" t="s">
        <v>5</v>
      </c>
      <c r="B3312" s="3" t="s">
        <v>777</v>
      </c>
      <c r="C3312" s="3" t="s">
        <v>262</v>
      </c>
      <c r="D3312" s="4">
        <f>HYPERLINK("https://cao.dolgi.msk.ru/account/1060438535/", 1060438535)</f>
        <v>1060438535</v>
      </c>
      <c r="E3312" s="3">
        <v>56103.5</v>
      </c>
    </row>
    <row r="3313" spans="1:5" x14ac:dyDescent="0.25">
      <c r="A3313" s="3" t="s">
        <v>5</v>
      </c>
      <c r="B3313" s="3" t="s">
        <v>777</v>
      </c>
      <c r="C3313" s="3" t="s">
        <v>267</v>
      </c>
      <c r="D3313" s="4">
        <f>HYPERLINK("https://cao.dolgi.msk.ru/account/1060438658/", 1060438658)</f>
        <v>1060438658</v>
      </c>
      <c r="E3313" s="3">
        <v>8326.58</v>
      </c>
    </row>
    <row r="3314" spans="1:5" x14ac:dyDescent="0.25">
      <c r="A3314" s="3" t="s">
        <v>5</v>
      </c>
      <c r="B3314" s="3" t="s">
        <v>777</v>
      </c>
      <c r="C3314" s="3" t="s">
        <v>268</v>
      </c>
      <c r="D3314" s="4">
        <f>HYPERLINK("https://cao.dolgi.msk.ru/account/1060438666/", 1060438666)</f>
        <v>1060438666</v>
      </c>
      <c r="E3314" s="3">
        <v>292747.99</v>
      </c>
    </row>
    <row r="3315" spans="1:5" x14ac:dyDescent="0.25">
      <c r="A3315" s="3" t="s">
        <v>5</v>
      </c>
      <c r="B3315" s="3" t="s">
        <v>777</v>
      </c>
      <c r="C3315" s="3" t="s">
        <v>285</v>
      </c>
      <c r="D3315" s="4">
        <f>HYPERLINK("https://cao.dolgi.msk.ru/account/1060438949/", 1060438949)</f>
        <v>1060438949</v>
      </c>
      <c r="E3315" s="3">
        <v>188509.66</v>
      </c>
    </row>
    <row r="3316" spans="1:5" x14ac:dyDescent="0.25">
      <c r="A3316" s="3" t="s">
        <v>5</v>
      </c>
      <c r="B3316" s="3" t="s">
        <v>777</v>
      </c>
      <c r="C3316" s="3" t="s">
        <v>285</v>
      </c>
      <c r="D3316" s="4">
        <f>HYPERLINK("https://cao.dolgi.msk.ru/account/1060438965/", 1060438965)</f>
        <v>1060438965</v>
      </c>
      <c r="E3316" s="3">
        <v>4731.97</v>
      </c>
    </row>
    <row r="3317" spans="1:5" x14ac:dyDescent="0.25">
      <c r="A3317" s="3" t="s">
        <v>5</v>
      </c>
      <c r="B3317" s="3" t="s">
        <v>778</v>
      </c>
      <c r="C3317" s="3" t="s">
        <v>51</v>
      </c>
      <c r="D3317" s="4">
        <f>HYPERLINK("https://cao.dolgi.msk.ru/account/1060711693/", 1060711693)</f>
        <v>1060711693</v>
      </c>
      <c r="E3317" s="3">
        <v>5997.25</v>
      </c>
    </row>
    <row r="3318" spans="1:5" x14ac:dyDescent="0.25">
      <c r="A3318" s="3" t="s">
        <v>5</v>
      </c>
      <c r="B3318" s="3" t="s">
        <v>778</v>
      </c>
      <c r="C3318" s="3" t="s">
        <v>30</v>
      </c>
      <c r="D3318" s="4">
        <f>HYPERLINK("https://cao.dolgi.msk.ru/account/1060711714/", 1060711714)</f>
        <v>1060711714</v>
      </c>
      <c r="E3318" s="3">
        <v>4891.21</v>
      </c>
    </row>
    <row r="3319" spans="1:5" x14ac:dyDescent="0.25">
      <c r="A3319" s="3" t="s">
        <v>5</v>
      </c>
      <c r="B3319" s="3" t="s">
        <v>778</v>
      </c>
      <c r="C3319" s="3" t="s">
        <v>9</v>
      </c>
      <c r="D3319" s="4">
        <f>HYPERLINK("https://cao.dolgi.msk.ru/account/1060711749/", 1060711749)</f>
        <v>1060711749</v>
      </c>
      <c r="E3319" s="3">
        <v>2746.82</v>
      </c>
    </row>
    <row r="3320" spans="1:5" x14ac:dyDescent="0.25">
      <c r="A3320" s="3" t="s">
        <v>5</v>
      </c>
      <c r="B3320" s="3" t="s">
        <v>778</v>
      </c>
      <c r="C3320" s="3" t="s">
        <v>138</v>
      </c>
      <c r="D3320" s="4">
        <f>HYPERLINK("https://cao.dolgi.msk.ru/account/1060711853/", 1060711853)</f>
        <v>1060711853</v>
      </c>
      <c r="E3320" s="3">
        <v>6120.11</v>
      </c>
    </row>
    <row r="3321" spans="1:5" x14ac:dyDescent="0.25">
      <c r="A3321" s="3" t="s">
        <v>5</v>
      </c>
      <c r="B3321" s="3" t="s">
        <v>778</v>
      </c>
      <c r="C3321" s="3" t="s">
        <v>11</v>
      </c>
      <c r="D3321" s="4">
        <f>HYPERLINK("https://cao.dolgi.msk.ru/account/1060711941/", 1060711941)</f>
        <v>1060711941</v>
      </c>
      <c r="E3321" s="3">
        <v>9787.7900000000009</v>
      </c>
    </row>
    <row r="3322" spans="1:5" x14ac:dyDescent="0.25">
      <c r="A3322" s="3" t="s">
        <v>5</v>
      </c>
      <c r="B3322" s="3" t="s">
        <v>778</v>
      </c>
      <c r="C3322" s="3" t="s">
        <v>19</v>
      </c>
      <c r="D3322" s="4">
        <f>HYPERLINK("https://cao.dolgi.msk.ru/account/1060712047/", 1060712047)</f>
        <v>1060712047</v>
      </c>
      <c r="E3322" s="3">
        <v>6066.16</v>
      </c>
    </row>
    <row r="3323" spans="1:5" x14ac:dyDescent="0.25">
      <c r="A3323" s="3" t="s">
        <v>5</v>
      </c>
      <c r="B3323" s="3" t="s">
        <v>778</v>
      </c>
      <c r="C3323" s="3" t="s">
        <v>20</v>
      </c>
      <c r="D3323" s="4">
        <f>HYPERLINK("https://cao.dolgi.msk.ru/account/1060712055/", 1060712055)</f>
        <v>1060712055</v>
      </c>
      <c r="E3323" s="3">
        <v>3668.47</v>
      </c>
    </row>
    <row r="3324" spans="1:5" x14ac:dyDescent="0.25">
      <c r="A3324" s="3" t="s">
        <v>5</v>
      </c>
      <c r="B3324" s="3" t="s">
        <v>778</v>
      </c>
      <c r="C3324" s="3" t="s">
        <v>22</v>
      </c>
      <c r="D3324" s="4">
        <f>HYPERLINK("https://cao.dolgi.msk.ru/account/1060712071/", 1060712071)</f>
        <v>1060712071</v>
      </c>
      <c r="E3324" s="3">
        <v>4550.37</v>
      </c>
    </row>
    <row r="3325" spans="1:5" x14ac:dyDescent="0.25">
      <c r="A3325" s="3" t="s">
        <v>5</v>
      </c>
      <c r="B3325" s="3" t="s">
        <v>778</v>
      </c>
      <c r="C3325" s="3" t="s">
        <v>35</v>
      </c>
      <c r="D3325" s="4">
        <f>HYPERLINK("https://cao.dolgi.msk.ru/account/1060712223/", 1060712223)</f>
        <v>1060712223</v>
      </c>
      <c r="E3325" s="3">
        <v>8063.13</v>
      </c>
    </row>
    <row r="3326" spans="1:5" x14ac:dyDescent="0.25">
      <c r="A3326" s="3" t="s">
        <v>5</v>
      </c>
      <c r="B3326" s="3" t="s">
        <v>778</v>
      </c>
      <c r="C3326" s="3" t="s">
        <v>60</v>
      </c>
      <c r="D3326" s="4">
        <f>HYPERLINK("https://cao.dolgi.msk.ru/account/1060712549/", 1060712549)</f>
        <v>1060712549</v>
      </c>
      <c r="E3326" s="3">
        <v>10575.03</v>
      </c>
    </row>
    <row r="3327" spans="1:5" x14ac:dyDescent="0.25">
      <c r="A3327" s="3" t="s">
        <v>5</v>
      </c>
      <c r="B3327" s="3" t="s">
        <v>778</v>
      </c>
      <c r="C3327" s="3" t="s">
        <v>73</v>
      </c>
      <c r="D3327" s="4">
        <f>HYPERLINK("https://cao.dolgi.msk.ru/account/1060712645/", 1060712645)</f>
        <v>1060712645</v>
      </c>
      <c r="E3327" s="3">
        <v>14325.44</v>
      </c>
    </row>
    <row r="3328" spans="1:5" x14ac:dyDescent="0.25">
      <c r="A3328" s="3" t="s">
        <v>5</v>
      </c>
      <c r="B3328" s="3" t="s">
        <v>778</v>
      </c>
      <c r="C3328" s="3" t="s">
        <v>78</v>
      </c>
      <c r="D3328" s="4">
        <f>HYPERLINK("https://cao.dolgi.msk.ru/account/1060712709/", 1060712709)</f>
        <v>1060712709</v>
      </c>
      <c r="E3328" s="3">
        <v>151860.32999999999</v>
      </c>
    </row>
    <row r="3329" spans="1:5" x14ac:dyDescent="0.25">
      <c r="A3329" s="3" t="s">
        <v>5</v>
      </c>
      <c r="B3329" s="3" t="s">
        <v>778</v>
      </c>
      <c r="C3329" s="3" t="s">
        <v>93</v>
      </c>
      <c r="D3329" s="4">
        <f>HYPERLINK("https://cao.dolgi.msk.ru/account/1060712872/", 1060712872)</f>
        <v>1060712872</v>
      </c>
      <c r="E3329" s="3">
        <v>9438.52</v>
      </c>
    </row>
    <row r="3330" spans="1:5" x14ac:dyDescent="0.25">
      <c r="A3330" s="3" t="s">
        <v>5</v>
      </c>
      <c r="B3330" s="3" t="s">
        <v>778</v>
      </c>
      <c r="C3330" s="3" t="s">
        <v>99</v>
      </c>
      <c r="D3330" s="4">
        <f>HYPERLINK("https://cao.dolgi.msk.ru/account/1060712952/", 1060712952)</f>
        <v>1060712952</v>
      </c>
      <c r="E3330" s="3">
        <v>6353.96</v>
      </c>
    </row>
    <row r="3331" spans="1:5" x14ac:dyDescent="0.25">
      <c r="A3331" s="3" t="s">
        <v>5</v>
      </c>
      <c r="B3331" s="3" t="s">
        <v>778</v>
      </c>
      <c r="C3331" s="3" t="s">
        <v>147</v>
      </c>
      <c r="D3331" s="4">
        <f>HYPERLINK("https://cao.dolgi.msk.ru/account/1060713031/", 1060713031)</f>
        <v>1060713031</v>
      </c>
      <c r="E3331" s="3">
        <v>8798.08</v>
      </c>
    </row>
    <row r="3332" spans="1:5" x14ac:dyDescent="0.25">
      <c r="A3332" s="3" t="s">
        <v>5</v>
      </c>
      <c r="B3332" s="3" t="s">
        <v>778</v>
      </c>
      <c r="C3332" s="3" t="s">
        <v>153</v>
      </c>
      <c r="D3332" s="4">
        <f>HYPERLINK("https://cao.dolgi.msk.ru/account/1060713277/", 1060713277)</f>
        <v>1060713277</v>
      </c>
      <c r="E3332" s="3">
        <v>5036.78</v>
      </c>
    </row>
    <row r="3333" spans="1:5" x14ac:dyDescent="0.25">
      <c r="A3333" s="3" t="s">
        <v>5</v>
      </c>
      <c r="B3333" s="3" t="s">
        <v>778</v>
      </c>
      <c r="C3333" s="3" t="s">
        <v>184</v>
      </c>
      <c r="D3333" s="4">
        <f>HYPERLINK("https://cao.dolgi.msk.ru/account/1060713656/", 1060713656)</f>
        <v>1060713656</v>
      </c>
      <c r="E3333" s="3">
        <v>19075.89</v>
      </c>
    </row>
    <row r="3334" spans="1:5" x14ac:dyDescent="0.25">
      <c r="A3334" s="3" t="s">
        <v>5</v>
      </c>
      <c r="B3334" s="3" t="s">
        <v>778</v>
      </c>
      <c r="C3334" s="3" t="s">
        <v>203</v>
      </c>
      <c r="D3334" s="4">
        <f>HYPERLINK("https://cao.dolgi.msk.ru/account/1060713891/", 1060713891)</f>
        <v>1060713891</v>
      </c>
      <c r="E3334" s="3">
        <v>10757.31</v>
      </c>
    </row>
    <row r="3335" spans="1:5" x14ac:dyDescent="0.25">
      <c r="A3335" s="3" t="s">
        <v>5</v>
      </c>
      <c r="B3335" s="3" t="s">
        <v>778</v>
      </c>
      <c r="C3335" s="3" t="s">
        <v>215</v>
      </c>
      <c r="D3335" s="4">
        <f>HYPERLINK("https://cao.dolgi.msk.ru/account/1060713998/", 1060713998)</f>
        <v>1060713998</v>
      </c>
      <c r="E3335" s="3">
        <v>21836.79</v>
      </c>
    </row>
    <row r="3336" spans="1:5" x14ac:dyDescent="0.25">
      <c r="A3336" s="3" t="s">
        <v>5</v>
      </c>
      <c r="B3336" s="3" t="s">
        <v>779</v>
      </c>
      <c r="C3336" s="3" t="s">
        <v>51</v>
      </c>
      <c r="D3336" s="4">
        <f>HYPERLINK("https://cao.dolgi.msk.ru/account/1060435254/", 1060435254)</f>
        <v>1060435254</v>
      </c>
      <c r="E3336" s="3">
        <v>33310.17</v>
      </c>
    </row>
    <row r="3337" spans="1:5" x14ac:dyDescent="0.25">
      <c r="A3337" s="3" t="s">
        <v>5</v>
      </c>
      <c r="B3337" s="3" t="s">
        <v>779</v>
      </c>
      <c r="C3337" s="3" t="s">
        <v>30</v>
      </c>
      <c r="D3337" s="4">
        <f>HYPERLINK("https://cao.dolgi.msk.ru/account/1060888405/", 1060888405)</f>
        <v>1060888405</v>
      </c>
      <c r="E3337" s="3">
        <v>24095.73</v>
      </c>
    </row>
    <row r="3338" spans="1:5" x14ac:dyDescent="0.25">
      <c r="A3338" s="3" t="s">
        <v>5</v>
      </c>
      <c r="B3338" s="3" t="s">
        <v>780</v>
      </c>
      <c r="C3338" s="3" t="s">
        <v>132</v>
      </c>
      <c r="D3338" s="4">
        <f>HYPERLINK("https://cao.dolgi.msk.ru/account/1060434083/", 1060434083)</f>
        <v>1060434083</v>
      </c>
      <c r="E3338" s="3">
        <v>209183.16</v>
      </c>
    </row>
    <row r="3339" spans="1:5" x14ac:dyDescent="0.25">
      <c r="A3339" s="3" t="s">
        <v>5</v>
      </c>
      <c r="B3339" s="3" t="s">
        <v>780</v>
      </c>
      <c r="C3339" s="3" t="s">
        <v>23</v>
      </c>
      <c r="D3339" s="4">
        <f>HYPERLINK("https://cao.dolgi.msk.ru/account/1060434403/", 1060434403)</f>
        <v>1060434403</v>
      </c>
      <c r="E3339" s="3">
        <v>239246.7</v>
      </c>
    </row>
    <row r="3340" spans="1:5" x14ac:dyDescent="0.25">
      <c r="A3340" s="3" t="s">
        <v>5</v>
      </c>
      <c r="B3340" s="3" t="s">
        <v>780</v>
      </c>
      <c r="C3340" s="3" t="s">
        <v>39</v>
      </c>
      <c r="D3340" s="4">
        <f>HYPERLINK("https://cao.dolgi.msk.ru/account/1060434673/", 1060434673)</f>
        <v>1060434673</v>
      </c>
      <c r="E3340" s="3">
        <v>11197.86</v>
      </c>
    </row>
    <row r="3341" spans="1:5" x14ac:dyDescent="0.25">
      <c r="A3341" s="3" t="s">
        <v>5</v>
      </c>
      <c r="B3341" s="3" t="s">
        <v>780</v>
      </c>
      <c r="C3341" s="3" t="s">
        <v>44</v>
      </c>
      <c r="D3341" s="4">
        <f>HYPERLINK("https://cao.dolgi.msk.ru/account/1060434753/", 1060434753)</f>
        <v>1060434753</v>
      </c>
      <c r="E3341" s="3">
        <v>10612.36</v>
      </c>
    </row>
    <row r="3342" spans="1:5" x14ac:dyDescent="0.25">
      <c r="A3342" s="3" t="s">
        <v>5</v>
      </c>
      <c r="B3342" s="3" t="s">
        <v>780</v>
      </c>
      <c r="C3342" s="3" t="s">
        <v>44</v>
      </c>
      <c r="D3342" s="4">
        <f>HYPERLINK("https://cao.dolgi.msk.ru/account/1060434796/", 1060434796)</f>
        <v>1060434796</v>
      </c>
      <c r="E3342" s="3">
        <v>5310.35</v>
      </c>
    </row>
    <row r="3343" spans="1:5" x14ac:dyDescent="0.25">
      <c r="A3343" s="3" t="s">
        <v>5</v>
      </c>
      <c r="B3343" s="3" t="s">
        <v>780</v>
      </c>
      <c r="C3343" s="3" t="s">
        <v>46</v>
      </c>
      <c r="D3343" s="4">
        <f>HYPERLINK("https://cao.dolgi.msk.ru/account/1060434833/", 1060434833)</f>
        <v>1060434833</v>
      </c>
      <c r="E3343" s="3">
        <v>3678.83</v>
      </c>
    </row>
    <row r="3344" spans="1:5" x14ac:dyDescent="0.25">
      <c r="A3344" s="3" t="s">
        <v>5</v>
      </c>
      <c r="B3344" s="3" t="s">
        <v>780</v>
      </c>
      <c r="C3344" s="3" t="s">
        <v>47</v>
      </c>
      <c r="D3344" s="4">
        <f>HYPERLINK("https://cao.dolgi.msk.ru/account/1060434841/", 1060434841)</f>
        <v>1060434841</v>
      </c>
      <c r="E3344" s="3">
        <v>239527.9</v>
      </c>
    </row>
    <row r="3345" spans="1:5" x14ac:dyDescent="0.25">
      <c r="A3345" s="3" t="s">
        <v>5</v>
      </c>
      <c r="B3345" s="3" t="s">
        <v>780</v>
      </c>
      <c r="C3345" s="3" t="s">
        <v>61</v>
      </c>
      <c r="D3345" s="4">
        <f>HYPERLINK("https://cao.dolgi.msk.ru/account/1060435043/", 1060435043)</f>
        <v>1060435043</v>
      </c>
      <c r="E3345" s="3">
        <v>9211.0499999999993</v>
      </c>
    </row>
    <row r="3346" spans="1:5" x14ac:dyDescent="0.25">
      <c r="A3346" s="3" t="s">
        <v>5</v>
      </c>
      <c r="B3346" s="3" t="s">
        <v>781</v>
      </c>
      <c r="C3346" s="3" t="s">
        <v>38</v>
      </c>
      <c r="D3346" s="4">
        <f>HYPERLINK("https://cao.dolgi.msk.ru/account/1060754503/", 1060754503)</f>
        <v>1060754503</v>
      </c>
      <c r="E3346" s="3">
        <v>6093.9</v>
      </c>
    </row>
    <row r="3347" spans="1:5" x14ac:dyDescent="0.25">
      <c r="A3347" s="3" t="s">
        <v>5</v>
      </c>
      <c r="B3347" s="3" t="s">
        <v>781</v>
      </c>
      <c r="C3347" s="3" t="s">
        <v>44</v>
      </c>
      <c r="D3347" s="4">
        <f>HYPERLINK("https://cao.dolgi.msk.ru/account/1060754589/", 1060754589)</f>
        <v>1060754589</v>
      </c>
      <c r="E3347" s="3">
        <v>26451.32</v>
      </c>
    </row>
    <row r="3348" spans="1:5" x14ac:dyDescent="0.25">
      <c r="A3348" s="3" t="s">
        <v>5</v>
      </c>
      <c r="B3348" s="3" t="s">
        <v>781</v>
      </c>
      <c r="C3348" s="3" t="s">
        <v>53</v>
      </c>
      <c r="D3348" s="4">
        <f>HYPERLINK("https://cao.dolgi.msk.ru/account/1060754685/", 1060754685)</f>
        <v>1060754685</v>
      </c>
      <c r="E3348" s="3">
        <v>237420.85</v>
      </c>
    </row>
    <row r="3349" spans="1:5" x14ac:dyDescent="0.25">
      <c r="A3349" s="3" t="s">
        <v>5</v>
      </c>
      <c r="B3349" s="3" t="s">
        <v>782</v>
      </c>
      <c r="C3349" s="3" t="s">
        <v>8</v>
      </c>
      <c r="D3349" s="4">
        <f>HYPERLINK("https://cao.dolgi.msk.ru/account/1060716451/", 1060716451)</f>
        <v>1060716451</v>
      </c>
      <c r="E3349" s="3">
        <v>23021.17</v>
      </c>
    </row>
    <row r="3350" spans="1:5" x14ac:dyDescent="0.25">
      <c r="A3350" s="3" t="s">
        <v>5</v>
      </c>
      <c r="B3350" s="3" t="s">
        <v>782</v>
      </c>
      <c r="C3350" s="3" t="s">
        <v>16</v>
      </c>
      <c r="D3350" s="4">
        <f>HYPERLINK("https://cao.dolgi.msk.ru/account/1060715563/", 1060715563)</f>
        <v>1060715563</v>
      </c>
      <c r="E3350" s="3">
        <v>9944.57</v>
      </c>
    </row>
    <row r="3351" spans="1:5" x14ac:dyDescent="0.25">
      <c r="A3351" s="3" t="s">
        <v>5</v>
      </c>
      <c r="B3351" s="3" t="s">
        <v>782</v>
      </c>
      <c r="C3351" s="3" t="s">
        <v>22</v>
      </c>
      <c r="D3351" s="4">
        <f>HYPERLINK("https://cao.dolgi.msk.ru/account/1060715643/", 1060715643)</f>
        <v>1060715643</v>
      </c>
      <c r="E3351" s="3">
        <v>325112.11</v>
      </c>
    </row>
    <row r="3352" spans="1:5" x14ac:dyDescent="0.25">
      <c r="A3352" s="3" t="s">
        <v>5</v>
      </c>
      <c r="B3352" s="3" t="s">
        <v>782</v>
      </c>
      <c r="C3352" s="3" t="s">
        <v>23</v>
      </c>
      <c r="D3352" s="4">
        <f>HYPERLINK("https://cao.dolgi.msk.ru/account/1060715651/", 1060715651)</f>
        <v>1060715651</v>
      </c>
      <c r="E3352" s="3">
        <v>6128.15</v>
      </c>
    </row>
    <row r="3353" spans="1:5" x14ac:dyDescent="0.25">
      <c r="A3353" s="3" t="s">
        <v>5</v>
      </c>
      <c r="B3353" s="3" t="s">
        <v>782</v>
      </c>
      <c r="C3353" s="3" t="s">
        <v>27</v>
      </c>
      <c r="D3353" s="4">
        <f>HYPERLINK("https://cao.dolgi.msk.ru/account/1060715707/", 1060715707)</f>
        <v>1060715707</v>
      </c>
      <c r="E3353" s="3">
        <v>4974.03</v>
      </c>
    </row>
    <row r="3354" spans="1:5" x14ac:dyDescent="0.25">
      <c r="A3354" s="3" t="s">
        <v>5</v>
      </c>
      <c r="B3354" s="3" t="s">
        <v>782</v>
      </c>
      <c r="C3354" s="3" t="s">
        <v>37</v>
      </c>
      <c r="D3354" s="4">
        <f>HYPERLINK("https://cao.dolgi.msk.ru/account/1060715811/", 1060715811)</f>
        <v>1060715811</v>
      </c>
      <c r="E3354" s="3">
        <v>394850.46</v>
      </c>
    </row>
    <row r="3355" spans="1:5" x14ac:dyDescent="0.25">
      <c r="A3355" s="3" t="s">
        <v>5</v>
      </c>
      <c r="B3355" s="3" t="s">
        <v>782</v>
      </c>
      <c r="C3355" s="3" t="s">
        <v>56</v>
      </c>
      <c r="D3355" s="4">
        <f>HYPERLINK("https://cao.dolgi.msk.ru/account/1060716048/", 1060716048)</f>
        <v>1060716048</v>
      </c>
      <c r="E3355" s="3">
        <v>16752.11</v>
      </c>
    </row>
    <row r="3356" spans="1:5" x14ac:dyDescent="0.25">
      <c r="A3356" s="3" t="s">
        <v>5</v>
      </c>
      <c r="B3356" s="3" t="s">
        <v>782</v>
      </c>
      <c r="C3356" s="3" t="s">
        <v>57</v>
      </c>
      <c r="D3356" s="4">
        <f>HYPERLINK("https://cao.dolgi.msk.ru/account/1060716056/", 1060716056)</f>
        <v>1060716056</v>
      </c>
      <c r="E3356" s="3">
        <v>273421.01</v>
      </c>
    </row>
    <row r="3357" spans="1:5" x14ac:dyDescent="0.25">
      <c r="A3357" s="3" t="s">
        <v>5</v>
      </c>
      <c r="B3357" s="3" t="s">
        <v>782</v>
      </c>
      <c r="C3357" s="3" t="s">
        <v>74</v>
      </c>
      <c r="D3357" s="4">
        <f>HYPERLINK("https://cao.dolgi.msk.ru/account/1060716208/", 1060716208)</f>
        <v>1060716208</v>
      </c>
      <c r="E3357" s="3">
        <v>12940.49</v>
      </c>
    </row>
    <row r="3358" spans="1:5" x14ac:dyDescent="0.25">
      <c r="A3358" s="3" t="s">
        <v>5</v>
      </c>
      <c r="B3358" s="3" t="s">
        <v>782</v>
      </c>
      <c r="C3358" s="3" t="s">
        <v>74</v>
      </c>
      <c r="D3358" s="4">
        <f>HYPERLINK("https://cao.dolgi.msk.ru/account/1060716216/", 1060716216)</f>
        <v>1060716216</v>
      </c>
      <c r="E3358" s="3">
        <v>186572.46</v>
      </c>
    </row>
    <row r="3359" spans="1:5" x14ac:dyDescent="0.25">
      <c r="A3359" s="3" t="s">
        <v>5</v>
      </c>
      <c r="B3359" s="3" t="s">
        <v>782</v>
      </c>
      <c r="C3359" s="3" t="s">
        <v>81</v>
      </c>
      <c r="D3359" s="4">
        <f>HYPERLINK("https://cao.dolgi.msk.ru/account/1060716291/", 1060716291)</f>
        <v>1060716291</v>
      </c>
      <c r="E3359" s="3">
        <v>223033.9</v>
      </c>
    </row>
    <row r="3360" spans="1:5" x14ac:dyDescent="0.25">
      <c r="A3360" s="3" t="s">
        <v>5</v>
      </c>
      <c r="B3360" s="3" t="s">
        <v>782</v>
      </c>
      <c r="C3360" s="3" t="s">
        <v>93</v>
      </c>
      <c r="D3360" s="4">
        <f>HYPERLINK("https://cao.dolgi.msk.ru/account/1060716443/", 1060716443)</f>
        <v>1060716443</v>
      </c>
      <c r="E3360" s="3">
        <v>57674</v>
      </c>
    </row>
    <row r="3361" spans="1:5" x14ac:dyDescent="0.25">
      <c r="A3361" s="3" t="s">
        <v>5</v>
      </c>
      <c r="B3361" s="3" t="s">
        <v>783</v>
      </c>
      <c r="C3361" s="3" t="s">
        <v>89</v>
      </c>
      <c r="D3361" s="4">
        <f>HYPERLINK("https://cao.dolgi.msk.ru/account/1060718553/", 1060718553)</f>
        <v>1060718553</v>
      </c>
      <c r="E3361" s="3">
        <v>179367.01</v>
      </c>
    </row>
    <row r="3362" spans="1:5" x14ac:dyDescent="0.25">
      <c r="A3362" s="3" t="s">
        <v>5</v>
      </c>
      <c r="B3362" s="3" t="s">
        <v>783</v>
      </c>
      <c r="C3362" s="3" t="s">
        <v>28</v>
      </c>
      <c r="D3362" s="4">
        <f>HYPERLINK("https://cao.dolgi.msk.ru/account/1060759697/", 1060759697)</f>
        <v>1060759697</v>
      </c>
      <c r="E3362" s="3">
        <v>61910.55</v>
      </c>
    </row>
    <row r="3363" spans="1:5" x14ac:dyDescent="0.25">
      <c r="A3363" s="3" t="s">
        <v>5</v>
      </c>
      <c r="B3363" s="3" t="s">
        <v>784</v>
      </c>
      <c r="C3363" s="3" t="s">
        <v>9</v>
      </c>
      <c r="D3363" s="4">
        <f>HYPERLINK("https://cao.dolgi.msk.ru/account/1060620353/", 1060620353)</f>
        <v>1060620353</v>
      </c>
      <c r="E3363" s="3">
        <v>7086.37</v>
      </c>
    </row>
    <row r="3364" spans="1:5" x14ac:dyDescent="0.25">
      <c r="A3364" s="3" t="s">
        <v>5</v>
      </c>
      <c r="B3364" s="3" t="s">
        <v>784</v>
      </c>
      <c r="C3364" s="3" t="s">
        <v>132</v>
      </c>
      <c r="D3364" s="4">
        <f>HYPERLINK("https://cao.dolgi.msk.ru/account/1060620417/", 1060620417)</f>
        <v>1060620417</v>
      </c>
      <c r="E3364" s="3">
        <v>33695.19</v>
      </c>
    </row>
    <row r="3365" spans="1:5" x14ac:dyDescent="0.25">
      <c r="A3365" s="3" t="s">
        <v>5</v>
      </c>
      <c r="B3365" s="3" t="s">
        <v>784</v>
      </c>
      <c r="C3365" s="3" t="s">
        <v>135</v>
      </c>
      <c r="D3365" s="4">
        <f>HYPERLINK("https://cao.dolgi.msk.ru/account/1060620468/", 1060620468)</f>
        <v>1060620468</v>
      </c>
      <c r="E3365" s="3">
        <v>59157.67</v>
      </c>
    </row>
    <row r="3366" spans="1:5" x14ac:dyDescent="0.25">
      <c r="A3366" s="3" t="s">
        <v>5</v>
      </c>
      <c r="B3366" s="3" t="s">
        <v>785</v>
      </c>
      <c r="C3366" s="3" t="s">
        <v>131</v>
      </c>
      <c r="D3366" s="4">
        <f>HYPERLINK("https://cao.dolgi.msk.ru/account/1060620599/", 1060620599)</f>
        <v>1060620599</v>
      </c>
      <c r="E3366" s="3">
        <v>15242.24</v>
      </c>
    </row>
    <row r="3367" spans="1:5" x14ac:dyDescent="0.25">
      <c r="A3367" s="3" t="s">
        <v>5</v>
      </c>
      <c r="B3367" s="3" t="s">
        <v>785</v>
      </c>
      <c r="C3367" s="3" t="s">
        <v>136</v>
      </c>
      <c r="D3367" s="4">
        <f>HYPERLINK("https://cao.dolgi.msk.ru/account/1060620724/", 1060620724)</f>
        <v>1060620724</v>
      </c>
      <c r="E3367" s="3">
        <v>40582.129999999997</v>
      </c>
    </row>
    <row r="3368" spans="1:5" x14ac:dyDescent="0.25">
      <c r="A3368" s="3" t="s">
        <v>5</v>
      </c>
      <c r="B3368" s="3" t="s">
        <v>785</v>
      </c>
      <c r="C3368" s="3" t="s">
        <v>138</v>
      </c>
      <c r="D3368" s="4">
        <f>HYPERLINK("https://cao.dolgi.msk.ru/account/1060620767/", 1060620767)</f>
        <v>1060620767</v>
      </c>
      <c r="E3368" s="3">
        <v>10228.17</v>
      </c>
    </row>
    <row r="3369" spans="1:5" x14ac:dyDescent="0.25">
      <c r="A3369" s="3" t="s">
        <v>5</v>
      </c>
      <c r="B3369" s="3" t="s">
        <v>786</v>
      </c>
      <c r="C3369" s="3" t="s">
        <v>133</v>
      </c>
      <c r="D3369" s="4">
        <f>HYPERLINK("https://cao.dolgi.msk.ru/account/1060620994/", 1060620994)</f>
        <v>1060620994</v>
      </c>
      <c r="E3369" s="3">
        <v>10134.4</v>
      </c>
    </row>
    <row r="3370" spans="1:5" x14ac:dyDescent="0.25">
      <c r="A3370" s="3" t="s">
        <v>5</v>
      </c>
      <c r="B3370" s="3" t="s">
        <v>787</v>
      </c>
      <c r="C3370" s="3" t="s">
        <v>19</v>
      </c>
      <c r="D3370" s="4">
        <f>HYPERLINK("https://cao.dolgi.msk.ru/account/1060563467/", 1060563467)</f>
        <v>1060563467</v>
      </c>
      <c r="E3370" s="3">
        <v>8178.57</v>
      </c>
    </row>
    <row r="3371" spans="1:5" x14ac:dyDescent="0.25">
      <c r="A3371" s="3" t="s">
        <v>5</v>
      </c>
      <c r="B3371" s="3" t="s">
        <v>788</v>
      </c>
      <c r="C3371" s="3" t="s">
        <v>30</v>
      </c>
      <c r="D3371" s="4">
        <f>HYPERLINK("https://cao.dolgi.msk.ru/account/1060563707/", 1060563707)</f>
        <v>1060563707</v>
      </c>
      <c r="E3371" s="3">
        <v>27696.55</v>
      </c>
    </row>
    <row r="3372" spans="1:5" x14ac:dyDescent="0.25">
      <c r="A3372" s="3" t="s">
        <v>5</v>
      </c>
      <c r="B3372" s="3" t="s">
        <v>788</v>
      </c>
      <c r="C3372" s="3" t="s">
        <v>25</v>
      </c>
      <c r="D3372" s="4">
        <f>HYPERLINK("https://cao.dolgi.msk.ru/account/1060887779/", 1060887779)</f>
        <v>1060887779</v>
      </c>
      <c r="E3372" s="3">
        <v>5493.91</v>
      </c>
    </row>
    <row r="3373" spans="1:5" x14ac:dyDescent="0.25">
      <c r="A3373" s="3" t="s">
        <v>5</v>
      </c>
      <c r="B3373" s="3" t="s">
        <v>789</v>
      </c>
      <c r="C3373" s="3" t="s">
        <v>130</v>
      </c>
      <c r="D3373" s="4">
        <f>HYPERLINK("https://cao.dolgi.msk.ru/account/1060564224/", 1060564224)</f>
        <v>1060564224</v>
      </c>
      <c r="E3373" s="3">
        <v>5101.62</v>
      </c>
    </row>
    <row r="3374" spans="1:5" x14ac:dyDescent="0.25">
      <c r="A3374" s="3" t="s">
        <v>5</v>
      </c>
      <c r="B3374" s="3" t="s">
        <v>789</v>
      </c>
      <c r="C3374" s="3" t="s">
        <v>790</v>
      </c>
      <c r="D3374" s="4">
        <f>HYPERLINK("https://cao.dolgi.msk.ru/account/1060564347/", 1060564347)</f>
        <v>1060564347</v>
      </c>
      <c r="E3374" s="3">
        <v>4580.99</v>
      </c>
    </row>
    <row r="3375" spans="1:5" x14ac:dyDescent="0.25">
      <c r="A3375" s="3" t="s">
        <v>5</v>
      </c>
      <c r="B3375" s="3" t="s">
        <v>789</v>
      </c>
      <c r="C3375" s="3" t="s">
        <v>791</v>
      </c>
      <c r="D3375" s="4">
        <f>HYPERLINK("https://cao.dolgi.msk.ru/account/1060868885/", 1060868885)</f>
        <v>1060868885</v>
      </c>
      <c r="E3375" s="3">
        <v>29554.63</v>
      </c>
    </row>
    <row r="3376" spans="1:5" x14ac:dyDescent="0.25">
      <c r="A3376" s="3" t="s">
        <v>5</v>
      </c>
      <c r="B3376" s="3" t="s">
        <v>792</v>
      </c>
      <c r="C3376" s="3" t="s">
        <v>142</v>
      </c>
      <c r="D3376" s="4">
        <f>HYPERLINK("https://cao.dolgi.msk.ru/account/1060564523/", 1060564523)</f>
        <v>1060564523</v>
      </c>
      <c r="E3376" s="3">
        <v>18071.27</v>
      </c>
    </row>
    <row r="3377" spans="1:5" x14ac:dyDescent="0.25">
      <c r="A3377" s="3" t="s">
        <v>5</v>
      </c>
      <c r="B3377" s="3" t="s">
        <v>792</v>
      </c>
      <c r="C3377" s="3" t="s">
        <v>143</v>
      </c>
      <c r="D3377" s="4">
        <f>HYPERLINK("https://cao.dolgi.msk.ru/account/1060564531/", 1060564531)</f>
        <v>1060564531</v>
      </c>
      <c r="E3377" s="3">
        <v>8550</v>
      </c>
    </row>
    <row r="3378" spans="1:5" x14ac:dyDescent="0.25">
      <c r="A3378" s="3" t="s">
        <v>5</v>
      </c>
      <c r="B3378" s="3" t="s">
        <v>793</v>
      </c>
      <c r="C3378" s="3" t="s">
        <v>35</v>
      </c>
      <c r="D3378" s="4">
        <f>HYPERLINK("https://cao.dolgi.msk.ru/account/1060564929/", 1060564929)</f>
        <v>1060564929</v>
      </c>
      <c r="E3378" s="3">
        <v>57174.75</v>
      </c>
    </row>
    <row r="3379" spans="1:5" x14ac:dyDescent="0.25">
      <c r="A3379" s="3" t="s">
        <v>5</v>
      </c>
      <c r="B3379" s="3" t="s">
        <v>793</v>
      </c>
      <c r="C3379" s="3" t="s">
        <v>44</v>
      </c>
      <c r="D3379" s="4">
        <f>HYPERLINK("https://cao.dolgi.msk.ru/account/1060565024/", 1060565024)</f>
        <v>1060565024</v>
      </c>
      <c r="E3379" s="3">
        <v>25380.15</v>
      </c>
    </row>
    <row r="3380" spans="1:5" x14ac:dyDescent="0.25">
      <c r="A3380" s="3" t="s">
        <v>5</v>
      </c>
      <c r="B3380" s="3" t="s">
        <v>793</v>
      </c>
      <c r="C3380" s="3" t="s">
        <v>53</v>
      </c>
      <c r="D3380" s="4">
        <f>HYPERLINK("https://cao.dolgi.msk.ru/account/1060565112/", 1060565112)</f>
        <v>1060565112</v>
      </c>
      <c r="E3380" s="3">
        <v>34632.800000000003</v>
      </c>
    </row>
    <row r="3381" spans="1:5" x14ac:dyDescent="0.25">
      <c r="A3381" s="3" t="s">
        <v>5</v>
      </c>
      <c r="B3381" s="3" t="s">
        <v>794</v>
      </c>
      <c r="C3381" s="3" t="s">
        <v>132</v>
      </c>
      <c r="D3381" s="4">
        <f>HYPERLINK("https://cao.dolgi.msk.ru/account/1060566318/", 1060566318)</f>
        <v>1060566318</v>
      </c>
      <c r="E3381" s="3">
        <v>19658.05</v>
      </c>
    </row>
    <row r="3382" spans="1:5" x14ac:dyDescent="0.25">
      <c r="A3382" s="3" t="s">
        <v>5</v>
      </c>
      <c r="B3382" s="3" t="s">
        <v>794</v>
      </c>
      <c r="C3382" s="3" t="s">
        <v>137</v>
      </c>
      <c r="D3382" s="4">
        <f>HYPERLINK("https://cao.dolgi.msk.ru/account/1060566377/", 1060566377)</f>
        <v>1060566377</v>
      </c>
      <c r="E3382" s="3">
        <v>77599.14</v>
      </c>
    </row>
    <row r="3383" spans="1:5" x14ac:dyDescent="0.25">
      <c r="A3383" s="3" t="s">
        <v>5</v>
      </c>
      <c r="B3383" s="3" t="s">
        <v>794</v>
      </c>
      <c r="C3383" s="3" t="s">
        <v>139</v>
      </c>
      <c r="D3383" s="4">
        <f>HYPERLINK("https://cao.dolgi.msk.ru/account/1060566393/", 1060566393)</f>
        <v>1060566393</v>
      </c>
      <c r="E3383" s="3">
        <v>19969.63</v>
      </c>
    </row>
    <row r="3384" spans="1:5" x14ac:dyDescent="0.25">
      <c r="A3384" s="3" t="s">
        <v>5</v>
      </c>
      <c r="B3384" s="3" t="s">
        <v>795</v>
      </c>
      <c r="C3384" s="3" t="s">
        <v>8</v>
      </c>
      <c r="D3384" s="4">
        <f>HYPERLINK("https://cao.dolgi.msk.ru/account/1060566449/", 1060566449)</f>
        <v>1060566449</v>
      </c>
      <c r="E3384" s="3">
        <v>18218.57</v>
      </c>
    </row>
    <row r="3385" spans="1:5" x14ac:dyDescent="0.25">
      <c r="A3385" s="3" t="s">
        <v>5</v>
      </c>
      <c r="B3385" s="3" t="s">
        <v>796</v>
      </c>
      <c r="C3385" s="3" t="s">
        <v>8</v>
      </c>
      <c r="D3385" s="4">
        <f>HYPERLINK("https://cao.dolgi.msk.ru/account/1060565999/", 1060565999)</f>
        <v>1060565999</v>
      </c>
      <c r="E3385" s="3">
        <v>12209.21</v>
      </c>
    </row>
    <row r="3386" spans="1:5" x14ac:dyDescent="0.25">
      <c r="A3386" s="3" t="s">
        <v>5</v>
      </c>
      <c r="B3386" s="3" t="s">
        <v>796</v>
      </c>
      <c r="C3386" s="3" t="s">
        <v>133</v>
      </c>
      <c r="D3386" s="4">
        <f>HYPERLINK("https://cao.dolgi.msk.ru/account/1060566094/", 1060566094)</f>
        <v>1060566094</v>
      </c>
      <c r="E3386" s="3">
        <v>9829.77</v>
      </c>
    </row>
    <row r="3387" spans="1:5" x14ac:dyDescent="0.25">
      <c r="A3387" s="3" t="s">
        <v>5</v>
      </c>
      <c r="B3387" s="3" t="s">
        <v>796</v>
      </c>
      <c r="C3387" s="3" t="s">
        <v>136</v>
      </c>
      <c r="D3387" s="4">
        <f>HYPERLINK("https://cao.dolgi.msk.ru/account/1060566123/", 1060566123)</f>
        <v>1060566123</v>
      </c>
      <c r="E3387" s="3">
        <v>13962.77</v>
      </c>
    </row>
    <row r="3388" spans="1:5" x14ac:dyDescent="0.25">
      <c r="A3388" s="3" t="s">
        <v>5</v>
      </c>
      <c r="B3388" s="3" t="s">
        <v>797</v>
      </c>
      <c r="C3388" s="3" t="s">
        <v>89</v>
      </c>
      <c r="D3388" s="4">
        <f>HYPERLINK("https://cao.dolgi.msk.ru/account/1060565454/", 1060565454)</f>
        <v>1060565454</v>
      </c>
      <c r="E3388" s="3">
        <v>71170.5</v>
      </c>
    </row>
    <row r="3389" spans="1:5" x14ac:dyDescent="0.25">
      <c r="A3389" s="3" t="s">
        <v>5</v>
      </c>
      <c r="B3389" s="3" t="s">
        <v>797</v>
      </c>
      <c r="C3389" s="3" t="s">
        <v>132</v>
      </c>
      <c r="D3389" s="4">
        <f>HYPERLINK("https://cao.dolgi.msk.ru/account/1060565489/", 1060565489)</f>
        <v>1060565489</v>
      </c>
      <c r="E3389" s="3">
        <v>7337.72</v>
      </c>
    </row>
    <row r="3390" spans="1:5" x14ac:dyDescent="0.25">
      <c r="A3390" s="3" t="s">
        <v>5</v>
      </c>
      <c r="B3390" s="3" t="s">
        <v>797</v>
      </c>
      <c r="C3390" s="3" t="s">
        <v>140</v>
      </c>
      <c r="D3390" s="4">
        <f>HYPERLINK("https://cao.dolgi.msk.ru/account/1060565585/", 1060565585)</f>
        <v>1060565585</v>
      </c>
      <c r="E3390" s="3">
        <v>14852.4</v>
      </c>
    </row>
    <row r="3391" spans="1:5" x14ac:dyDescent="0.25">
      <c r="A3391" s="3" t="s">
        <v>5</v>
      </c>
      <c r="B3391" s="3" t="s">
        <v>797</v>
      </c>
      <c r="C3391" s="3" t="s">
        <v>142</v>
      </c>
      <c r="D3391" s="4">
        <f>HYPERLINK("https://cao.dolgi.msk.ru/account/1060565606/", 1060565606)</f>
        <v>1060565606</v>
      </c>
      <c r="E3391" s="3">
        <v>33462.089999999997</v>
      </c>
    </row>
    <row r="3392" spans="1:5" x14ac:dyDescent="0.25">
      <c r="A3392" s="3" t="s">
        <v>5</v>
      </c>
      <c r="B3392" s="3" t="s">
        <v>797</v>
      </c>
      <c r="C3392" s="3" t="s">
        <v>7</v>
      </c>
      <c r="D3392" s="4">
        <f>HYPERLINK("https://cao.dolgi.msk.ru/account/1060565622/", 1060565622)</f>
        <v>1060565622</v>
      </c>
      <c r="E3392" s="3">
        <v>16079.22</v>
      </c>
    </row>
    <row r="3393" spans="1:5" x14ac:dyDescent="0.25">
      <c r="A3393" s="3" t="s">
        <v>5</v>
      </c>
      <c r="B3393" s="3" t="s">
        <v>797</v>
      </c>
      <c r="C3393" s="3" t="s">
        <v>14</v>
      </c>
      <c r="D3393" s="4">
        <f>HYPERLINK("https://cao.dolgi.msk.ru/account/1060565681/", 1060565681)</f>
        <v>1060565681</v>
      </c>
      <c r="E3393" s="3">
        <v>546802.11</v>
      </c>
    </row>
    <row r="3394" spans="1:5" x14ac:dyDescent="0.25">
      <c r="A3394" s="3" t="s">
        <v>5</v>
      </c>
      <c r="B3394" s="3" t="s">
        <v>797</v>
      </c>
      <c r="C3394" s="3" t="s">
        <v>16</v>
      </c>
      <c r="D3394" s="4">
        <f>HYPERLINK("https://cao.dolgi.msk.ru/account/1060565729/", 1060565729)</f>
        <v>1060565729</v>
      </c>
      <c r="E3394" s="3">
        <v>17642.599999999999</v>
      </c>
    </row>
    <row r="3395" spans="1:5" x14ac:dyDescent="0.25">
      <c r="A3395" s="3" t="s">
        <v>5</v>
      </c>
      <c r="B3395" s="3" t="s">
        <v>797</v>
      </c>
      <c r="C3395" s="3" t="s">
        <v>19</v>
      </c>
      <c r="D3395" s="4">
        <f>HYPERLINK("https://cao.dolgi.msk.ru/account/1060565753/", 1060565753)</f>
        <v>1060565753</v>
      </c>
      <c r="E3395" s="3">
        <v>21679.08</v>
      </c>
    </row>
    <row r="3396" spans="1:5" x14ac:dyDescent="0.25">
      <c r="A3396" s="3" t="s">
        <v>5</v>
      </c>
      <c r="B3396" s="3" t="s">
        <v>797</v>
      </c>
      <c r="C3396" s="3" t="s">
        <v>26</v>
      </c>
      <c r="D3396" s="4">
        <f>HYPERLINK("https://cao.dolgi.msk.ru/account/1060565833/", 1060565833)</f>
        <v>1060565833</v>
      </c>
      <c r="E3396" s="3">
        <v>6845.54</v>
      </c>
    </row>
    <row r="3397" spans="1:5" x14ac:dyDescent="0.25">
      <c r="A3397" s="3" t="s">
        <v>5</v>
      </c>
      <c r="B3397" s="3" t="s">
        <v>798</v>
      </c>
      <c r="C3397" s="3" t="s">
        <v>79</v>
      </c>
      <c r="D3397" s="4">
        <f>HYPERLINK("https://cao.dolgi.msk.ru/account/1060546755/", 1060546755)</f>
        <v>1060546755</v>
      </c>
      <c r="E3397" s="3">
        <v>8307.86</v>
      </c>
    </row>
    <row r="3398" spans="1:5" x14ac:dyDescent="0.25">
      <c r="A3398" s="3" t="s">
        <v>5</v>
      </c>
      <c r="B3398" s="3" t="s">
        <v>798</v>
      </c>
      <c r="C3398" s="3" t="s">
        <v>83</v>
      </c>
      <c r="D3398" s="4">
        <f>HYPERLINK("https://cao.dolgi.msk.ru/account/1060546819/", 1060546819)</f>
        <v>1060546819</v>
      </c>
      <c r="E3398" s="3">
        <v>68287.429999999993</v>
      </c>
    </row>
    <row r="3399" spans="1:5" x14ac:dyDescent="0.25">
      <c r="A3399" s="3" t="s">
        <v>5</v>
      </c>
      <c r="B3399" s="3" t="s">
        <v>798</v>
      </c>
      <c r="C3399" s="3" t="s">
        <v>88</v>
      </c>
      <c r="D3399" s="4">
        <f>HYPERLINK("https://cao.dolgi.msk.ru/account/1060546878/", 1060546878)</f>
        <v>1060546878</v>
      </c>
      <c r="E3399" s="3">
        <v>9385.07</v>
      </c>
    </row>
    <row r="3400" spans="1:5" x14ac:dyDescent="0.25">
      <c r="A3400" s="3" t="s">
        <v>5</v>
      </c>
      <c r="B3400" s="3" t="s">
        <v>798</v>
      </c>
      <c r="C3400" s="3" t="s">
        <v>98</v>
      </c>
      <c r="D3400" s="4">
        <f>HYPERLINK("https://cao.dolgi.msk.ru/account/1060546982/", 1060546982)</f>
        <v>1060546982</v>
      </c>
      <c r="E3400" s="3">
        <v>31544.11</v>
      </c>
    </row>
    <row r="3401" spans="1:5" x14ac:dyDescent="0.25">
      <c r="A3401" s="3" t="s">
        <v>5</v>
      </c>
      <c r="B3401" s="3" t="s">
        <v>798</v>
      </c>
      <c r="C3401" s="3" t="s">
        <v>146</v>
      </c>
      <c r="D3401" s="4">
        <f>HYPERLINK("https://cao.dolgi.msk.ru/account/1060547088/", 1060547088)</f>
        <v>1060547088</v>
      </c>
      <c r="E3401" s="3">
        <v>23688.41</v>
      </c>
    </row>
    <row r="3402" spans="1:5" x14ac:dyDescent="0.25">
      <c r="A3402" s="3" t="s">
        <v>5</v>
      </c>
      <c r="B3402" s="3" t="s">
        <v>799</v>
      </c>
      <c r="C3402" s="3" t="s">
        <v>30</v>
      </c>
      <c r="D3402" s="4">
        <f>HYPERLINK("https://cao.dolgi.msk.ru/account/1060560135/", 1060560135)</f>
        <v>1060560135</v>
      </c>
      <c r="E3402" s="3">
        <v>12555.97</v>
      </c>
    </row>
    <row r="3403" spans="1:5" x14ac:dyDescent="0.25">
      <c r="A3403" s="3" t="s">
        <v>5</v>
      </c>
      <c r="B3403" s="3" t="s">
        <v>799</v>
      </c>
      <c r="C3403" s="3" t="s">
        <v>132</v>
      </c>
      <c r="D3403" s="4">
        <f>HYPERLINK("https://cao.dolgi.msk.ru/account/1060560207/", 1060560207)</f>
        <v>1060560207</v>
      </c>
      <c r="E3403" s="3">
        <v>10361.11</v>
      </c>
    </row>
    <row r="3404" spans="1:5" x14ac:dyDescent="0.25">
      <c r="A3404" s="3" t="s">
        <v>5</v>
      </c>
      <c r="B3404" s="3" t="s">
        <v>799</v>
      </c>
      <c r="C3404" s="3" t="s">
        <v>139</v>
      </c>
      <c r="D3404" s="4">
        <f>HYPERLINK("https://cao.dolgi.msk.ru/account/1060560282/", 1060560282)</f>
        <v>1060560282</v>
      </c>
      <c r="E3404" s="3">
        <v>16168.53</v>
      </c>
    </row>
    <row r="3405" spans="1:5" x14ac:dyDescent="0.25">
      <c r="A3405" s="3" t="s">
        <v>5</v>
      </c>
      <c r="B3405" s="3" t="s">
        <v>799</v>
      </c>
      <c r="C3405" s="3" t="s">
        <v>140</v>
      </c>
      <c r="D3405" s="4">
        <f>HYPERLINK("https://cao.dolgi.msk.ru/account/1060560303/", 1060560303)</f>
        <v>1060560303</v>
      </c>
      <c r="E3405" s="3">
        <v>28147.13</v>
      </c>
    </row>
    <row r="3406" spans="1:5" x14ac:dyDescent="0.25">
      <c r="A3406" s="3" t="s">
        <v>5</v>
      </c>
      <c r="B3406" s="3" t="s">
        <v>799</v>
      </c>
      <c r="C3406" s="3" t="s">
        <v>141</v>
      </c>
      <c r="D3406" s="4">
        <f>HYPERLINK("https://cao.dolgi.msk.ru/account/1060560311/", 1060560311)</f>
        <v>1060560311</v>
      </c>
      <c r="E3406" s="3">
        <v>3671.81</v>
      </c>
    </row>
    <row r="3407" spans="1:5" x14ac:dyDescent="0.25">
      <c r="A3407" s="3" t="s">
        <v>5</v>
      </c>
      <c r="B3407" s="3" t="s">
        <v>799</v>
      </c>
      <c r="C3407" s="3" t="s">
        <v>18</v>
      </c>
      <c r="D3407" s="4">
        <f>HYPERLINK("https://cao.dolgi.msk.ru/account/1060560477/", 1060560477)</f>
        <v>1060560477</v>
      </c>
      <c r="E3407" s="3">
        <v>8593.42</v>
      </c>
    </row>
    <row r="3408" spans="1:5" x14ac:dyDescent="0.25">
      <c r="A3408" s="3" t="s">
        <v>5</v>
      </c>
      <c r="B3408" s="3" t="s">
        <v>799</v>
      </c>
      <c r="C3408" s="3" t="s">
        <v>25</v>
      </c>
      <c r="D3408" s="4">
        <f>HYPERLINK("https://cao.dolgi.msk.ru/account/1060560557/", 1060560557)</f>
        <v>1060560557</v>
      </c>
      <c r="E3408" s="3">
        <v>19314.599999999999</v>
      </c>
    </row>
    <row r="3409" spans="1:5" x14ac:dyDescent="0.25">
      <c r="A3409" s="3" t="s">
        <v>5</v>
      </c>
      <c r="B3409" s="3" t="s">
        <v>799</v>
      </c>
      <c r="C3409" s="3" t="s">
        <v>29</v>
      </c>
      <c r="D3409" s="4">
        <f>HYPERLINK("https://cao.dolgi.msk.ru/account/1060560602/", 1060560602)</f>
        <v>1060560602</v>
      </c>
      <c r="E3409" s="3">
        <v>4353.57</v>
      </c>
    </row>
    <row r="3410" spans="1:5" x14ac:dyDescent="0.25">
      <c r="A3410" s="3" t="s">
        <v>5</v>
      </c>
      <c r="B3410" s="3" t="s">
        <v>799</v>
      </c>
      <c r="C3410" s="3" t="s">
        <v>34</v>
      </c>
      <c r="D3410" s="4">
        <f>HYPERLINK("https://cao.dolgi.msk.ru/account/1060560653/", 1060560653)</f>
        <v>1060560653</v>
      </c>
      <c r="E3410" s="3">
        <v>10078.75</v>
      </c>
    </row>
    <row r="3411" spans="1:5" x14ac:dyDescent="0.25">
      <c r="A3411" s="3" t="s">
        <v>5</v>
      </c>
      <c r="B3411" s="3" t="s">
        <v>799</v>
      </c>
      <c r="C3411" s="3" t="s">
        <v>40</v>
      </c>
      <c r="D3411" s="4">
        <f>HYPERLINK("https://cao.dolgi.msk.ru/account/1060560741/", 1060560741)</f>
        <v>1060560741</v>
      </c>
      <c r="E3411" s="3">
        <v>28840.15</v>
      </c>
    </row>
    <row r="3412" spans="1:5" x14ac:dyDescent="0.25">
      <c r="A3412" s="3" t="s">
        <v>5</v>
      </c>
      <c r="B3412" s="3" t="s">
        <v>799</v>
      </c>
      <c r="C3412" s="3" t="s">
        <v>54</v>
      </c>
      <c r="D3412" s="4">
        <f>HYPERLINK("https://cao.dolgi.msk.ru/account/1060560899/", 1060560899)</f>
        <v>1060560899</v>
      </c>
      <c r="E3412" s="3">
        <v>19091.150000000001</v>
      </c>
    </row>
    <row r="3413" spans="1:5" x14ac:dyDescent="0.25">
      <c r="A3413" s="3" t="s">
        <v>5</v>
      </c>
      <c r="B3413" s="3" t="s">
        <v>799</v>
      </c>
      <c r="C3413" s="3" t="s">
        <v>62</v>
      </c>
      <c r="D3413" s="4">
        <f>HYPERLINK("https://cao.dolgi.msk.ru/account/1060560995/", 1060560995)</f>
        <v>1060560995</v>
      </c>
      <c r="E3413" s="3">
        <v>11670.58</v>
      </c>
    </row>
    <row r="3414" spans="1:5" x14ac:dyDescent="0.25">
      <c r="A3414" s="3" t="s">
        <v>5</v>
      </c>
      <c r="B3414" s="3" t="s">
        <v>799</v>
      </c>
      <c r="C3414" s="3" t="s">
        <v>75</v>
      </c>
      <c r="D3414" s="4">
        <f>HYPERLINK("https://cao.dolgi.msk.ru/account/1060561082/", 1060561082)</f>
        <v>1060561082</v>
      </c>
      <c r="E3414" s="3">
        <v>8690.68</v>
      </c>
    </row>
    <row r="3415" spans="1:5" x14ac:dyDescent="0.25">
      <c r="A3415" s="3" t="s">
        <v>5</v>
      </c>
      <c r="B3415" s="3" t="s">
        <v>799</v>
      </c>
      <c r="C3415" s="3" t="s">
        <v>79</v>
      </c>
      <c r="D3415" s="4">
        <f>HYPERLINK("https://cao.dolgi.msk.ru/account/1060561138/", 1060561138)</f>
        <v>1060561138</v>
      </c>
      <c r="E3415" s="3">
        <v>7806.33</v>
      </c>
    </row>
    <row r="3416" spans="1:5" x14ac:dyDescent="0.25">
      <c r="A3416" s="3" t="s">
        <v>5</v>
      </c>
      <c r="B3416" s="3" t="s">
        <v>800</v>
      </c>
      <c r="C3416" s="3" t="s">
        <v>130</v>
      </c>
      <c r="D3416" s="4">
        <f>HYPERLINK("https://cao.dolgi.msk.ru/account/1060550797/", 1060550797)</f>
        <v>1060550797</v>
      </c>
      <c r="E3416" s="3">
        <v>9553.7800000000007</v>
      </c>
    </row>
    <row r="3417" spans="1:5" x14ac:dyDescent="0.25">
      <c r="A3417" s="3" t="s">
        <v>5</v>
      </c>
      <c r="B3417" s="3" t="s">
        <v>800</v>
      </c>
      <c r="C3417" s="3" t="s">
        <v>143</v>
      </c>
      <c r="D3417" s="4">
        <f>HYPERLINK("https://cao.dolgi.msk.ru/account/1060551028/", 1060551028)</f>
        <v>1060551028</v>
      </c>
      <c r="E3417" s="3">
        <v>9999.36</v>
      </c>
    </row>
    <row r="3418" spans="1:5" x14ac:dyDescent="0.25">
      <c r="A3418" s="3" t="s">
        <v>5</v>
      </c>
      <c r="B3418" s="3" t="s">
        <v>800</v>
      </c>
      <c r="C3418" s="3" t="s">
        <v>23</v>
      </c>
      <c r="D3418" s="4">
        <f>HYPERLINK("https://cao.dolgi.msk.ru/account/1060551204/", 1060551204)</f>
        <v>1060551204</v>
      </c>
      <c r="E3418" s="3">
        <v>6874.96</v>
      </c>
    </row>
    <row r="3419" spans="1:5" x14ac:dyDescent="0.25">
      <c r="A3419" s="3" t="s">
        <v>5</v>
      </c>
      <c r="B3419" s="3" t="s">
        <v>800</v>
      </c>
      <c r="C3419" s="3" t="s">
        <v>24</v>
      </c>
      <c r="D3419" s="4">
        <f>HYPERLINK("https://cao.dolgi.msk.ru/account/1060551212/", 1060551212)</f>
        <v>1060551212</v>
      </c>
      <c r="E3419" s="3">
        <v>4738.1400000000003</v>
      </c>
    </row>
    <row r="3420" spans="1:5" x14ac:dyDescent="0.25">
      <c r="A3420" s="3" t="s">
        <v>5</v>
      </c>
      <c r="B3420" s="3" t="s">
        <v>800</v>
      </c>
      <c r="C3420" s="3" t="s">
        <v>26</v>
      </c>
      <c r="D3420" s="4">
        <f>HYPERLINK("https://cao.dolgi.msk.ru/account/1060551247/", 1060551247)</f>
        <v>1060551247</v>
      </c>
      <c r="E3420" s="3">
        <v>5856.47</v>
      </c>
    </row>
    <row r="3421" spans="1:5" x14ac:dyDescent="0.25">
      <c r="A3421" s="3" t="s">
        <v>5</v>
      </c>
      <c r="B3421" s="3" t="s">
        <v>800</v>
      </c>
      <c r="C3421" s="3" t="s">
        <v>31</v>
      </c>
      <c r="D3421" s="4">
        <f>HYPERLINK("https://cao.dolgi.msk.ru/account/1060551263/", 1060551263)</f>
        <v>1060551263</v>
      </c>
      <c r="E3421" s="3">
        <v>44334.19</v>
      </c>
    </row>
    <row r="3422" spans="1:5" x14ac:dyDescent="0.25">
      <c r="A3422" s="3" t="s">
        <v>5</v>
      </c>
      <c r="B3422" s="3" t="s">
        <v>800</v>
      </c>
      <c r="C3422" s="3" t="s">
        <v>37</v>
      </c>
      <c r="D3422" s="4">
        <f>HYPERLINK("https://cao.dolgi.msk.ru/account/1060551343/", 1060551343)</f>
        <v>1060551343</v>
      </c>
      <c r="E3422" s="3">
        <v>740274.7</v>
      </c>
    </row>
    <row r="3423" spans="1:5" x14ac:dyDescent="0.25">
      <c r="A3423" s="3" t="s">
        <v>5</v>
      </c>
      <c r="B3423" s="3" t="s">
        <v>800</v>
      </c>
      <c r="C3423" s="3" t="s">
        <v>74</v>
      </c>
      <c r="D3423" s="4">
        <f>HYPERLINK("https://cao.dolgi.msk.ru/account/1060551765/", 1060551765)</f>
        <v>1060551765</v>
      </c>
      <c r="E3423" s="3">
        <v>249997.32</v>
      </c>
    </row>
    <row r="3424" spans="1:5" x14ac:dyDescent="0.25">
      <c r="A3424" s="3" t="s">
        <v>5</v>
      </c>
      <c r="B3424" s="3" t="s">
        <v>800</v>
      </c>
      <c r="C3424" s="3" t="s">
        <v>147</v>
      </c>
      <c r="D3424" s="4">
        <f>HYPERLINK("https://cao.dolgi.msk.ru/account/1060552151/", 1060552151)</f>
        <v>1060552151</v>
      </c>
      <c r="E3424" s="3">
        <v>8808.56</v>
      </c>
    </row>
    <row r="3425" spans="1:5" x14ac:dyDescent="0.25">
      <c r="A3425" s="3" t="s">
        <v>5</v>
      </c>
      <c r="B3425" s="3" t="s">
        <v>800</v>
      </c>
      <c r="C3425" s="3" t="s">
        <v>148</v>
      </c>
      <c r="D3425" s="4">
        <f>HYPERLINK("https://cao.dolgi.msk.ru/account/1060552178/", 1060552178)</f>
        <v>1060552178</v>
      </c>
      <c r="E3425" s="3">
        <v>5165.82</v>
      </c>
    </row>
    <row r="3426" spans="1:5" x14ac:dyDescent="0.25">
      <c r="A3426" s="3" t="s">
        <v>5</v>
      </c>
      <c r="B3426" s="3" t="s">
        <v>800</v>
      </c>
      <c r="C3426" s="3" t="s">
        <v>151</v>
      </c>
      <c r="D3426" s="4">
        <f>HYPERLINK("https://cao.dolgi.msk.ru/account/1060552346/", 1060552346)</f>
        <v>1060552346</v>
      </c>
      <c r="E3426" s="3">
        <v>5012.1099999999997</v>
      </c>
    </row>
    <row r="3427" spans="1:5" x14ac:dyDescent="0.25">
      <c r="A3427" s="3" t="s">
        <v>5</v>
      </c>
      <c r="B3427" s="3" t="s">
        <v>800</v>
      </c>
      <c r="C3427" s="3" t="s">
        <v>155</v>
      </c>
      <c r="D3427" s="4">
        <f>HYPERLINK("https://cao.dolgi.msk.ru/account/1060552397/", 1060552397)</f>
        <v>1060552397</v>
      </c>
      <c r="E3427" s="3">
        <v>316950.03000000003</v>
      </c>
    </row>
    <row r="3428" spans="1:5" x14ac:dyDescent="0.25">
      <c r="A3428" s="3" t="s">
        <v>5</v>
      </c>
      <c r="B3428" s="3" t="s">
        <v>800</v>
      </c>
      <c r="C3428" s="3" t="s">
        <v>165</v>
      </c>
      <c r="D3428" s="4">
        <f>HYPERLINK("https://cao.dolgi.msk.ru/account/1060552514/", 1060552514)</f>
        <v>1060552514</v>
      </c>
      <c r="E3428" s="3">
        <v>4471.6000000000004</v>
      </c>
    </row>
    <row r="3429" spans="1:5" x14ac:dyDescent="0.25">
      <c r="A3429" s="3" t="s">
        <v>5</v>
      </c>
      <c r="B3429" s="3" t="s">
        <v>800</v>
      </c>
      <c r="C3429" s="3" t="s">
        <v>176</v>
      </c>
      <c r="D3429" s="4">
        <f>HYPERLINK("https://cao.dolgi.msk.ru/account/1060552645/", 1060552645)</f>
        <v>1060552645</v>
      </c>
      <c r="E3429" s="3">
        <v>40609.89</v>
      </c>
    </row>
    <row r="3430" spans="1:5" x14ac:dyDescent="0.25">
      <c r="A3430" s="3" t="s">
        <v>5</v>
      </c>
      <c r="B3430" s="3" t="s">
        <v>800</v>
      </c>
      <c r="C3430" s="3" t="s">
        <v>192</v>
      </c>
      <c r="D3430" s="4">
        <f>HYPERLINK("https://cao.dolgi.msk.ru/account/1060552821/", 1060552821)</f>
        <v>1060552821</v>
      </c>
      <c r="E3430" s="3">
        <v>7529.64</v>
      </c>
    </row>
    <row r="3431" spans="1:5" x14ac:dyDescent="0.25">
      <c r="A3431" s="3" t="s">
        <v>5</v>
      </c>
      <c r="B3431" s="3" t="s">
        <v>800</v>
      </c>
      <c r="C3431" s="3" t="s">
        <v>202</v>
      </c>
      <c r="D3431" s="4">
        <f>HYPERLINK("https://cao.dolgi.msk.ru/account/1060552952/", 1060552952)</f>
        <v>1060552952</v>
      </c>
      <c r="E3431" s="3">
        <v>16563.490000000002</v>
      </c>
    </row>
    <row r="3432" spans="1:5" x14ac:dyDescent="0.25">
      <c r="A3432" s="3" t="s">
        <v>5</v>
      </c>
      <c r="B3432" s="3" t="s">
        <v>800</v>
      </c>
      <c r="C3432" s="3" t="s">
        <v>203</v>
      </c>
      <c r="D3432" s="4">
        <f>HYPERLINK("https://cao.dolgi.msk.ru/account/1060552979/", 1060552979)</f>
        <v>1060552979</v>
      </c>
      <c r="E3432" s="3">
        <v>23514.35</v>
      </c>
    </row>
    <row r="3433" spans="1:5" x14ac:dyDescent="0.25">
      <c r="A3433" s="3" t="s">
        <v>5</v>
      </c>
      <c r="B3433" s="3" t="s">
        <v>800</v>
      </c>
      <c r="C3433" s="3" t="s">
        <v>204</v>
      </c>
      <c r="D3433" s="4">
        <f>HYPERLINK("https://cao.dolgi.msk.ru/account/1060870838/", 1060870838)</f>
        <v>1060870838</v>
      </c>
      <c r="E3433" s="3">
        <v>2589.94</v>
      </c>
    </row>
    <row r="3434" spans="1:5" x14ac:dyDescent="0.25">
      <c r="A3434" s="3" t="s">
        <v>5</v>
      </c>
      <c r="B3434" s="3" t="s">
        <v>800</v>
      </c>
      <c r="C3434" s="3" t="s">
        <v>216</v>
      </c>
      <c r="D3434" s="4">
        <f>HYPERLINK("https://cao.dolgi.msk.ru/account/1060553058/", 1060553058)</f>
        <v>1060553058</v>
      </c>
      <c r="E3434" s="3">
        <v>25051.31</v>
      </c>
    </row>
    <row r="3435" spans="1:5" x14ac:dyDescent="0.25">
      <c r="A3435" s="3" t="s">
        <v>5</v>
      </c>
      <c r="B3435" s="3" t="s">
        <v>800</v>
      </c>
      <c r="C3435" s="3" t="s">
        <v>220</v>
      </c>
      <c r="D3435" s="4">
        <f>HYPERLINK("https://cao.dolgi.msk.ru/account/1060553111/", 1060553111)</f>
        <v>1060553111</v>
      </c>
      <c r="E3435" s="3">
        <v>6528.6</v>
      </c>
    </row>
    <row r="3436" spans="1:5" x14ac:dyDescent="0.25">
      <c r="A3436" s="3" t="s">
        <v>5</v>
      </c>
      <c r="B3436" s="3" t="s">
        <v>800</v>
      </c>
      <c r="C3436" s="3" t="s">
        <v>229</v>
      </c>
      <c r="D3436" s="4">
        <f>HYPERLINK("https://cao.dolgi.msk.ru/account/1060553242/", 1060553242)</f>
        <v>1060553242</v>
      </c>
      <c r="E3436" s="3">
        <v>22117.46</v>
      </c>
    </row>
    <row r="3437" spans="1:5" x14ac:dyDescent="0.25">
      <c r="A3437" s="3" t="s">
        <v>5</v>
      </c>
      <c r="B3437" s="3" t="s">
        <v>801</v>
      </c>
      <c r="C3437" s="3" t="s">
        <v>130</v>
      </c>
      <c r="D3437" s="4">
        <f>HYPERLINK("https://cao.dolgi.msk.ru/account/1060077557/", 1060077557)</f>
        <v>1060077557</v>
      </c>
      <c r="E3437" s="3">
        <v>17852.650000000001</v>
      </c>
    </row>
    <row r="3438" spans="1:5" x14ac:dyDescent="0.25">
      <c r="A3438" s="3" t="s">
        <v>5</v>
      </c>
      <c r="B3438" s="3" t="s">
        <v>801</v>
      </c>
      <c r="C3438" s="3" t="s">
        <v>131</v>
      </c>
      <c r="D3438" s="4">
        <f>HYPERLINK("https://cao.dolgi.msk.ru/account/1060553517/", 1060553517)</f>
        <v>1060553517</v>
      </c>
      <c r="E3438" s="3">
        <v>16871.55</v>
      </c>
    </row>
    <row r="3439" spans="1:5" x14ac:dyDescent="0.25">
      <c r="A3439" s="3" t="s">
        <v>5</v>
      </c>
      <c r="B3439" s="3" t="s">
        <v>801</v>
      </c>
      <c r="C3439" s="3" t="s">
        <v>105</v>
      </c>
      <c r="D3439" s="4">
        <f>HYPERLINK("https://cao.dolgi.msk.ru/account/1060553541/", 1060553541)</f>
        <v>1060553541</v>
      </c>
      <c r="E3439" s="3">
        <v>7086.53</v>
      </c>
    </row>
    <row r="3440" spans="1:5" x14ac:dyDescent="0.25">
      <c r="A3440" s="3" t="s">
        <v>5</v>
      </c>
      <c r="B3440" s="3" t="s">
        <v>802</v>
      </c>
      <c r="C3440" s="3" t="s">
        <v>130</v>
      </c>
      <c r="D3440" s="4">
        <f>HYPERLINK("https://cao.dolgi.msk.ru/account/1060553971/", 1060553971)</f>
        <v>1060553971</v>
      </c>
      <c r="E3440" s="3">
        <v>379684.11</v>
      </c>
    </row>
    <row r="3441" spans="1:5" x14ac:dyDescent="0.25">
      <c r="A3441" s="3" t="s">
        <v>5</v>
      </c>
      <c r="B3441" s="3" t="s">
        <v>802</v>
      </c>
      <c r="C3441" s="3" t="s">
        <v>9</v>
      </c>
      <c r="D3441" s="4">
        <f>HYPERLINK("https://cao.dolgi.msk.ru/account/1060554018/", 1060554018)</f>
        <v>1060554018</v>
      </c>
      <c r="E3441" s="3">
        <v>65210.36</v>
      </c>
    </row>
    <row r="3442" spans="1:5" x14ac:dyDescent="0.25">
      <c r="A3442" s="3" t="s">
        <v>5</v>
      </c>
      <c r="B3442" s="3" t="s">
        <v>802</v>
      </c>
      <c r="C3442" s="3" t="s">
        <v>143</v>
      </c>
      <c r="D3442" s="4">
        <f>HYPERLINK("https://cao.dolgi.msk.ru/account/1060554165/", 1060554165)</f>
        <v>1060554165</v>
      </c>
      <c r="E3442" s="3">
        <v>19326.689999999999</v>
      </c>
    </row>
    <row r="3443" spans="1:5" x14ac:dyDescent="0.25">
      <c r="A3443" s="3" t="s">
        <v>5</v>
      </c>
      <c r="B3443" s="3" t="s">
        <v>802</v>
      </c>
      <c r="C3443" s="3" t="s">
        <v>7</v>
      </c>
      <c r="D3443" s="4">
        <f>HYPERLINK("https://cao.dolgi.msk.ru/account/1060554173/", 1060554173)</f>
        <v>1060554173</v>
      </c>
      <c r="E3443" s="3">
        <v>27211.3</v>
      </c>
    </row>
    <row r="3444" spans="1:5" x14ac:dyDescent="0.25">
      <c r="A3444" s="3" t="s">
        <v>5</v>
      </c>
      <c r="B3444" s="3" t="s">
        <v>802</v>
      </c>
      <c r="C3444" s="3" t="s">
        <v>18</v>
      </c>
      <c r="D3444" s="4">
        <f>HYPERLINK("https://cao.dolgi.msk.ru/account/1060554296/", 1060554296)</f>
        <v>1060554296</v>
      </c>
      <c r="E3444" s="3">
        <v>24125.55</v>
      </c>
    </row>
    <row r="3445" spans="1:5" x14ac:dyDescent="0.25">
      <c r="A3445" s="3" t="s">
        <v>5</v>
      </c>
      <c r="B3445" s="3" t="s">
        <v>802</v>
      </c>
      <c r="C3445" s="3" t="s">
        <v>24</v>
      </c>
      <c r="D3445" s="4">
        <f>HYPERLINK("https://cao.dolgi.msk.ru/account/1060554368/", 1060554368)</f>
        <v>1060554368</v>
      </c>
      <c r="E3445" s="3">
        <v>90238.83</v>
      </c>
    </row>
    <row r="3446" spans="1:5" x14ac:dyDescent="0.25">
      <c r="A3446" s="3" t="s">
        <v>5</v>
      </c>
      <c r="B3446" s="3" t="s">
        <v>802</v>
      </c>
      <c r="C3446" s="3" t="s">
        <v>43</v>
      </c>
      <c r="D3446" s="4">
        <f>HYPERLINK("https://cao.dolgi.msk.ru/account/1060554587/", 1060554587)</f>
        <v>1060554587</v>
      </c>
      <c r="E3446" s="3">
        <v>8952.8700000000008</v>
      </c>
    </row>
    <row r="3447" spans="1:5" x14ac:dyDescent="0.25">
      <c r="A3447" s="3" t="s">
        <v>5</v>
      </c>
      <c r="B3447" s="3" t="s">
        <v>802</v>
      </c>
      <c r="C3447" s="3" t="s">
        <v>63</v>
      </c>
      <c r="D3447" s="4">
        <f>HYPERLINK("https://cao.dolgi.msk.ru/account/1060554819/", 1060554819)</f>
        <v>1060554819</v>
      </c>
      <c r="E3447" s="3">
        <v>11659.52</v>
      </c>
    </row>
    <row r="3448" spans="1:5" x14ac:dyDescent="0.25">
      <c r="A3448" s="3" t="s">
        <v>5</v>
      </c>
      <c r="B3448" s="3" t="s">
        <v>803</v>
      </c>
      <c r="C3448" s="3" t="s">
        <v>89</v>
      </c>
      <c r="D3448" s="4">
        <f>HYPERLINK("https://cao.dolgi.msk.ru/account/1060555117/", 1060555117)</f>
        <v>1060555117</v>
      </c>
      <c r="E3448" s="3">
        <v>70619.149999999994</v>
      </c>
    </row>
    <row r="3449" spans="1:5" x14ac:dyDescent="0.25">
      <c r="A3449" s="3" t="s">
        <v>5</v>
      </c>
      <c r="B3449" s="3" t="s">
        <v>803</v>
      </c>
      <c r="C3449" s="3" t="s">
        <v>138</v>
      </c>
      <c r="D3449" s="4">
        <f>HYPERLINK("https://cao.dolgi.msk.ru/account/1060555205/", 1060555205)</f>
        <v>1060555205</v>
      </c>
      <c r="E3449" s="3">
        <v>110407.35</v>
      </c>
    </row>
    <row r="3450" spans="1:5" x14ac:dyDescent="0.25">
      <c r="A3450" s="3" t="s">
        <v>5</v>
      </c>
      <c r="B3450" s="3" t="s">
        <v>803</v>
      </c>
      <c r="C3450" s="3" t="s">
        <v>7</v>
      </c>
      <c r="D3450" s="4">
        <f>HYPERLINK("https://cao.dolgi.msk.ru/account/1060555272/", 1060555272)</f>
        <v>1060555272</v>
      </c>
      <c r="E3450" s="3">
        <v>30257.23</v>
      </c>
    </row>
    <row r="3451" spans="1:5" x14ac:dyDescent="0.25">
      <c r="A3451" s="3" t="s">
        <v>5</v>
      </c>
      <c r="B3451" s="3" t="s">
        <v>803</v>
      </c>
      <c r="C3451" s="3" t="s">
        <v>10</v>
      </c>
      <c r="D3451" s="4">
        <f>HYPERLINK("https://cao.dolgi.msk.ru/account/1060555299/", 1060555299)</f>
        <v>1060555299</v>
      </c>
      <c r="E3451" s="3">
        <v>127033.76</v>
      </c>
    </row>
    <row r="3452" spans="1:5" x14ac:dyDescent="0.25">
      <c r="A3452" s="3" t="s">
        <v>5</v>
      </c>
      <c r="B3452" s="3" t="s">
        <v>803</v>
      </c>
      <c r="C3452" s="3" t="s">
        <v>33</v>
      </c>
      <c r="D3452" s="4">
        <f>HYPERLINK("https://cao.dolgi.msk.ru/account/1060555555/", 1060555555)</f>
        <v>1060555555</v>
      </c>
      <c r="E3452" s="3">
        <v>6028.49</v>
      </c>
    </row>
    <row r="3453" spans="1:5" x14ac:dyDescent="0.25">
      <c r="A3453" s="3" t="s">
        <v>5</v>
      </c>
      <c r="B3453" s="3" t="s">
        <v>804</v>
      </c>
      <c r="C3453" s="3" t="s">
        <v>9</v>
      </c>
      <c r="D3453" s="4">
        <f>HYPERLINK("https://cao.dolgi.msk.ru/account/1060556339/", 1060556339)</f>
        <v>1060556339</v>
      </c>
      <c r="E3453" s="3">
        <v>129377.37</v>
      </c>
    </row>
    <row r="3454" spans="1:5" x14ac:dyDescent="0.25">
      <c r="A3454" s="3" t="s">
        <v>5</v>
      </c>
      <c r="B3454" s="3" t="s">
        <v>804</v>
      </c>
      <c r="C3454" s="3" t="s">
        <v>132</v>
      </c>
      <c r="D3454" s="4">
        <f>HYPERLINK("https://cao.dolgi.msk.ru/account/1060556363/", 1060556363)</f>
        <v>1060556363</v>
      </c>
      <c r="E3454" s="3">
        <v>24421.39</v>
      </c>
    </row>
    <row r="3455" spans="1:5" x14ac:dyDescent="0.25">
      <c r="A3455" s="3" t="s">
        <v>5</v>
      </c>
      <c r="B3455" s="3" t="s">
        <v>804</v>
      </c>
      <c r="C3455" s="3" t="s">
        <v>13</v>
      </c>
      <c r="D3455" s="4">
        <f>HYPERLINK("https://cao.dolgi.msk.ru/account/1060556566/", 1060556566)</f>
        <v>1060556566</v>
      </c>
      <c r="E3455" s="3">
        <v>17760.23</v>
      </c>
    </row>
    <row r="3456" spans="1:5" x14ac:dyDescent="0.25">
      <c r="A3456" s="3" t="s">
        <v>5</v>
      </c>
      <c r="B3456" s="3" t="s">
        <v>804</v>
      </c>
      <c r="C3456" s="3" t="s">
        <v>17</v>
      </c>
      <c r="D3456" s="4">
        <f>HYPERLINK("https://cao.dolgi.msk.ru/account/1060556611/", 1060556611)</f>
        <v>1060556611</v>
      </c>
      <c r="E3456" s="3">
        <v>4588.57</v>
      </c>
    </row>
    <row r="3457" spans="1:5" x14ac:dyDescent="0.25">
      <c r="A3457" s="3" t="s">
        <v>5</v>
      </c>
      <c r="B3457" s="3" t="s">
        <v>804</v>
      </c>
      <c r="C3457" s="3" t="s">
        <v>29</v>
      </c>
      <c r="D3457" s="4">
        <f>HYPERLINK("https://cao.dolgi.msk.ru/account/1060556785/", 1060556785)</f>
        <v>1060556785</v>
      </c>
      <c r="E3457" s="3">
        <v>59754.43</v>
      </c>
    </row>
    <row r="3458" spans="1:5" x14ac:dyDescent="0.25">
      <c r="A3458" s="3" t="s">
        <v>5</v>
      </c>
      <c r="B3458" s="3" t="s">
        <v>804</v>
      </c>
      <c r="C3458" s="3" t="s">
        <v>34</v>
      </c>
      <c r="D3458" s="4">
        <f>HYPERLINK("https://cao.dolgi.msk.ru/account/1060556822/", 1060556822)</f>
        <v>1060556822</v>
      </c>
      <c r="E3458" s="3">
        <v>26897.48</v>
      </c>
    </row>
    <row r="3459" spans="1:5" x14ac:dyDescent="0.25">
      <c r="A3459" s="3" t="s">
        <v>5</v>
      </c>
      <c r="B3459" s="3" t="s">
        <v>804</v>
      </c>
      <c r="C3459" s="3" t="s">
        <v>38</v>
      </c>
      <c r="D3459" s="4">
        <f>HYPERLINK("https://cao.dolgi.msk.ru/account/1060556902/", 1060556902)</f>
        <v>1060556902</v>
      </c>
      <c r="E3459" s="3">
        <v>13597.52</v>
      </c>
    </row>
    <row r="3460" spans="1:5" x14ac:dyDescent="0.25">
      <c r="A3460" s="3" t="s">
        <v>5</v>
      </c>
      <c r="B3460" s="3" t="s">
        <v>804</v>
      </c>
      <c r="C3460" s="3" t="s">
        <v>46</v>
      </c>
      <c r="D3460" s="4">
        <f>HYPERLINK("https://cao.dolgi.msk.ru/account/1060557024/", 1060557024)</f>
        <v>1060557024</v>
      </c>
      <c r="E3460" s="3">
        <v>12169.44</v>
      </c>
    </row>
    <row r="3461" spans="1:5" x14ac:dyDescent="0.25">
      <c r="A3461" s="3" t="s">
        <v>5</v>
      </c>
      <c r="B3461" s="3" t="s">
        <v>804</v>
      </c>
      <c r="C3461" s="3" t="s">
        <v>59</v>
      </c>
      <c r="D3461" s="4">
        <f>HYPERLINK("https://cao.dolgi.msk.ru/account/1060557163/", 1060557163)</f>
        <v>1060557163</v>
      </c>
      <c r="E3461" s="3">
        <v>11636.64</v>
      </c>
    </row>
    <row r="3462" spans="1:5" x14ac:dyDescent="0.25">
      <c r="A3462" s="3" t="s">
        <v>5</v>
      </c>
      <c r="B3462" s="3" t="s">
        <v>804</v>
      </c>
      <c r="C3462" s="3" t="s">
        <v>73</v>
      </c>
      <c r="D3462" s="4">
        <f>HYPERLINK("https://cao.dolgi.msk.ru/account/1060557286/", 1060557286)</f>
        <v>1060557286</v>
      </c>
      <c r="E3462" s="3">
        <v>34506.559999999998</v>
      </c>
    </row>
    <row r="3463" spans="1:5" x14ac:dyDescent="0.25">
      <c r="A3463" s="3" t="s">
        <v>5</v>
      </c>
      <c r="B3463" s="3" t="s">
        <v>804</v>
      </c>
      <c r="C3463" s="3" t="s">
        <v>144</v>
      </c>
      <c r="D3463" s="4">
        <f>HYPERLINK("https://cao.dolgi.msk.ru/account/1060557489/", 1060557489)</f>
        <v>1060557489</v>
      </c>
      <c r="E3463" s="3">
        <v>25947.97</v>
      </c>
    </row>
    <row r="3464" spans="1:5" x14ac:dyDescent="0.25">
      <c r="A3464" s="3" t="s">
        <v>5</v>
      </c>
      <c r="B3464" s="3" t="s">
        <v>804</v>
      </c>
      <c r="C3464" s="3" t="s">
        <v>150</v>
      </c>
      <c r="D3464" s="4">
        <f>HYPERLINK("https://cao.dolgi.msk.ru/account/1060557905/", 1060557905)</f>
        <v>1060557905</v>
      </c>
      <c r="E3464" s="3">
        <v>8619.67</v>
      </c>
    </row>
    <row r="3465" spans="1:5" x14ac:dyDescent="0.25">
      <c r="A3465" s="3" t="s">
        <v>5</v>
      </c>
      <c r="B3465" s="3" t="s">
        <v>805</v>
      </c>
      <c r="C3465" s="3" t="s">
        <v>8</v>
      </c>
      <c r="D3465" s="4">
        <f>HYPERLINK("https://cao.dolgi.msk.ru/account/1060447415/", 1060447415)</f>
        <v>1060447415</v>
      </c>
      <c r="E3465" s="3">
        <v>74919.240000000005</v>
      </c>
    </row>
    <row r="3466" spans="1:5" x14ac:dyDescent="0.25">
      <c r="A3466" s="3" t="s">
        <v>5</v>
      </c>
      <c r="B3466" s="3" t="s">
        <v>805</v>
      </c>
      <c r="C3466" s="3" t="s">
        <v>30</v>
      </c>
      <c r="D3466" s="4">
        <f>HYPERLINK("https://cao.dolgi.msk.ru/account/1060447458/", 1060447458)</f>
        <v>1060447458</v>
      </c>
      <c r="E3466" s="3">
        <v>5902.88</v>
      </c>
    </row>
    <row r="3467" spans="1:5" x14ac:dyDescent="0.25">
      <c r="A3467" s="3" t="s">
        <v>5</v>
      </c>
      <c r="B3467" s="3" t="s">
        <v>805</v>
      </c>
      <c r="C3467" s="3" t="s">
        <v>130</v>
      </c>
      <c r="D3467" s="4">
        <f>HYPERLINK("https://cao.dolgi.msk.ru/account/1060447466/", 1060447466)</f>
        <v>1060447466</v>
      </c>
      <c r="E3467" s="3">
        <v>27240.68</v>
      </c>
    </row>
    <row r="3468" spans="1:5" x14ac:dyDescent="0.25">
      <c r="A3468" s="3" t="s">
        <v>5</v>
      </c>
      <c r="B3468" s="3" t="s">
        <v>805</v>
      </c>
      <c r="C3468" s="3" t="s">
        <v>9</v>
      </c>
      <c r="D3468" s="4">
        <f>HYPERLINK("https://cao.dolgi.msk.ru/account/1060447511/", 1060447511)</f>
        <v>1060447511</v>
      </c>
      <c r="E3468" s="3">
        <v>10003.52</v>
      </c>
    </row>
    <row r="3469" spans="1:5" x14ac:dyDescent="0.25">
      <c r="A3469" s="3" t="s">
        <v>5</v>
      </c>
      <c r="B3469" s="3" t="s">
        <v>805</v>
      </c>
      <c r="C3469" s="3" t="s">
        <v>89</v>
      </c>
      <c r="D3469" s="4">
        <f>HYPERLINK("https://cao.dolgi.msk.ru/account/1060447538/", 1060447538)</f>
        <v>1060447538</v>
      </c>
      <c r="E3469" s="3">
        <v>21064.68</v>
      </c>
    </row>
    <row r="3470" spans="1:5" x14ac:dyDescent="0.25">
      <c r="A3470" s="3" t="s">
        <v>5</v>
      </c>
      <c r="B3470" s="3" t="s">
        <v>805</v>
      </c>
      <c r="C3470" s="3" t="s">
        <v>89</v>
      </c>
      <c r="D3470" s="4">
        <f>HYPERLINK("https://cao.dolgi.msk.ru/account/1060447546/", 1060447546)</f>
        <v>1060447546</v>
      </c>
      <c r="E3470" s="3">
        <v>72237.08</v>
      </c>
    </row>
    <row r="3471" spans="1:5" x14ac:dyDescent="0.25">
      <c r="A3471" s="3" t="s">
        <v>5</v>
      </c>
      <c r="B3471" s="3" t="s">
        <v>805</v>
      </c>
      <c r="C3471" s="3" t="s">
        <v>105</v>
      </c>
      <c r="D3471" s="4">
        <f>HYPERLINK("https://cao.dolgi.msk.ru/account/1060447618/", 1060447618)</f>
        <v>1060447618</v>
      </c>
      <c r="E3471" s="3">
        <v>2065.85</v>
      </c>
    </row>
    <row r="3472" spans="1:5" x14ac:dyDescent="0.25">
      <c r="A3472" s="3" t="s">
        <v>5</v>
      </c>
      <c r="B3472" s="3" t="s">
        <v>805</v>
      </c>
      <c r="C3472" s="3" t="s">
        <v>132</v>
      </c>
      <c r="D3472" s="4">
        <f>HYPERLINK("https://cao.dolgi.msk.ru/account/1060816794/", 1060816794)</f>
        <v>1060816794</v>
      </c>
      <c r="E3472" s="3">
        <v>40896.230000000003</v>
      </c>
    </row>
    <row r="3473" spans="1:5" x14ac:dyDescent="0.25">
      <c r="A3473" s="3" t="s">
        <v>5</v>
      </c>
      <c r="B3473" s="3" t="s">
        <v>805</v>
      </c>
      <c r="C3473" s="3" t="s">
        <v>134</v>
      </c>
      <c r="D3473" s="4">
        <f>HYPERLINK("https://cao.dolgi.msk.ru/account/1060447677/", 1060447677)</f>
        <v>1060447677</v>
      </c>
      <c r="E3473" s="3">
        <v>103059.35</v>
      </c>
    </row>
    <row r="3474" spans="1:5" x14ac:dyDescent="0.25">
      <c r="A3474" s="3" t="s">
        <v>5</v>
      </c>
      <c r="B3474" s="3" t="s">
        <v>805</v>
      </c>
      <c r="C3474" s="3" t="s">
        <v>134</v>
      </c>
      <c r="D3474" s="4">
        <f>HYPERLINK("https://cao.dolgi.msk.ru/account/1060447685/", 1060447685)</f>
        <v>1060447685</v>
      </c>
      <c r="E3474" s="3">
        <v>53985.84</v>
      </c>
    </row>
    <row r="3475" spans="1:5" x14ac:dyDescent="0.25">
      <c r="A3475" s="3" t="s">
        <v>5</v>
      </c>
      <c r="B3475" s="3" t="s">
        <v>805</v>
      </c>
      <c r="C3475" s="3" t="s">
        <v>135</v>
      </c>
      <c r="D3475" s="4">
        <f>HYPERLINK("https://cao.dolgi.msk.ru/account/1060447706/", 1060447706)</f>
        <v>1060447706</v>
      </c>
      <c r="E3475" s="3">
        <v>273404</v>
      </c>
    </row>
    <row r="3476" spans="1:5" x14ac:dyDescent="0.25">
      <c r="A3476" s="3" t="s">
        <v>5</v>
      </c>
      <c r="B3476" s="3" t="s">
        <v>805</v>
      </c>
      <c r="C3476" s="3" t="s">
        <v>136</v>
      </c>
      <c r="D3476" s="4">
        <f>HYPERLINK("https://cao.dolgi.msk.ru/account/1060447714/", 1060447714)</f>
        <v>1060447714</v>
      </c>
      <c r="E3476" s="3">
        <v>755076.79</v>
      </c>
    </row>
    <row r="3477" spans="1:5" x14ac:dyDescent="0.25">
      <c r="A3477" s="3" t="s">
        <v>5</v>
      </c>
      <c r="B3477" s="3" t="s">
        <v>805</v>
      </c>
      <c r="C3477" s="3" t="s">
        <v>138</v>
      </c>
      <c r="D3477" s="4">
        <f>HYPERLINK("https://cao.dolgi.msk.ru/account/1060887007/", 1060887007)</f>
        <v>1060887007</v>
      </c>
      <c r="E3477" s="3">
        <v>20482.79</v>
      </c>
    </row>
    <row r="3478" spans="1:5" x14ac:dyDescent="0.25">
      <c r="A3478" s="3" t="s">
        <v>5</v>
      </c>
      <c r="B3478" s="3" t="s">
        <v>805</v>
      </c>
      <c r="C3478" s="3" t="s">
        <v>142</v>
      </c>
      <c r="D3478" s="4">
        <f>HYPERLINK("https://cao.dolgi.msk.ru/account/1060447909/", 1060447909)</f>
        <v>1060447909</v>
      </c>
      <c r="E3478" s="3">
        <v>97359.57</v>
      </c>
    </row>
    <row r="3479" spans="1:5" x14ac:dyDescent="0.25">
      <c r="A3479" s="3" t="s">
        <v>5</v>
      </c>
      <c r="B3479" s="3" t="s">
        <v>805</v>
      </c>
      <c r="C3479" s="3" t="s">
        <v>18</v>
      </c>
      <c r="D3479" s="4">
        <f>HYPERLINK("https://cao.dolgi.msk.ru/account/1060448151/", 1060448151)</f>
        <v>1060448151</v>
      </c>
      <c r="E3479" s="3">
        <v>131876.85999999999</v>
      </c>
    </row>
    <row r="3480" spans="1:5" x14ac:dyDescent="0.25">
      <c r="A3480" s="3" t="s">
        <v>5</v>
      </c>
      <c r="B3480" s="3" t="s">
        <v>805</v>
      </c>
      <c r="C3480" s="3" t="s">
        <v>18</v>
      </c>
      <c r="D3480" s="4">
        <f>HYPERLINK("https://cao.dolgi.msk.ru/account/1069109666/", 1069109666)</f>
        <v>1069109666</v>
      </c>
      <c r="E3480" s="3">
        <v>8361.5</v>
      </c>
    </row>
    <row r="3481" spans="1:5" x14ac:dyDescent="0.25">
      <c r="A3481" s="3" t="s">
        <v>5</v>
      </c>
      <c r="B3481" s="3" t="s">
        <v>806</v>
      </c>
      <c r="C3481" s="3" t="s">
        <v>131</v>
      </c>
      <c r="D3481" s="4">
        <f>HYPERLINK("https://cao.dolgi.msk.ru/account/1060448637/", 1060448637)</f>
        <v>1060448637</v>
      </c>
      <c r="E3481" s="3">
        <v>12753.38</v>
      </c>
    </row>
    <row r="3482" spans="1:5" x14ac:dyDescent="0.25">
      <c r="A3482" s="3" t="s">
        <v>5</v>
      </c>
      <c r="B3482" s="3" t="s">
        <v>806</v>
      </c>
      <c r="C3482" s="3" t="s">
        <v>105</v>
      </c>
      <c r="D3482" s="4">
        <f>HYPERLINK("https://cao.dolgi.msk.ru/account/1060448602/", 1060448602)</f>
        <v>1060448602</v>
      </c>
      <c r="E3482" s="3">
        <v>53141.73</v>
      </c>
    </row>
    <row r="3483" spans="1:5" x14ac:dyDescent="0.25">
      <c r="A3483" s="3" t="s">
        <v>5</v>
      </c>
      <c r="B3483" s="3" t="s">
        <v>806</v>
      </c>
      <c r="C3483" s="3" t="s">
        <v>105</v>
      </c>
      <c r="D3483" s="4">
        <f>HYPERLINK("https://cao.dolgi.msk.ru/account/1060778986/", 1060778986)</f>
        <v>1060778986</v>
      </c>
      <c r="E3483" s="3">
        <v>299293.49</v>
      </c>
    </row>
    <row r="3484" spans="1:5" x14ac:dyDescent="0.25">
      <c r="A3484" s="3" t="s">
        <v>5</v>
      </c>
      <c r="B3484" s="3" t="s">
        <v>806</v>
      </c>
      <c r="C3484" s="3" t="s">
        <v>136</v>
      </c>
      <c r="D3484" s="4">
        <f>HYPERLINK("https://cao.dolgi.msk.ru/account/1060448469/", 1060448469)</f>
        <v>1060448469</v>
      </c>
      <c r="E3484" s="3">
        <v>205578.53</v>
      </c>
    </row>
    <row r="3485" spans="1:5" x14ac:dyDescent="0.25">
      <c r="A3485" s="3" t="s">
        <v>5</v>
      </c>
      <c r="B3485" s="3" t="s">
        <v>806</v>
      </c>
      <c r="C3485" s="3" t="s">
        <v>141</v>
      </c>
      <c r="D3485" s="4">
        <f>HYPERLINK("https://cao.dolgi.msk.ru/account/1060448274/", 1060448274)</f>
        <v>1060448274</v>
      </c>
      <c r="E3485" s="3">
        <v>467358.36</v>
      </c>
    </row>
    <row r="3486" spans="1:5" x14ac:dyDescent="0.25">
      <c r="A3486" s="3" t="s">
        <v>5</v>
      </c>
      <c r="B3486" s="3" t="s">
        <v>806</v>
      </c>
      <c r="C3486" s="3" t="s">
        <v>7</v>
      </c>
      <c r="D3486" s="4">
        <f>HYPERLINK("https://cao.dolgi.msk.ru/account/1060448223/", 1060448223)</f>
        <v>1060448223</v>
      </c>
      <c r="E3486" s="3">
        <v>113210.41</v>
      </c>
    </row>
    <row r="3487" spans="1:5" x14ac:dyDescent="0.25">
      <c r="A3487" s="3" t="s">
        <v>5</v>
      </c>
      <c r="B3487" s="3" t="s">
        <v>806</v>
      </c>
      <c r="C3487" s="3" t="s">
        <v>7</v>
      </c>
      <c r="D3487" s="4">
        <f>HYPERLINK("https://cao.dolgi.msk.ru/account/1060448231/", 1060448231)</f>
        <v>1060448231</v>
      </c>
      <c r="E3487" s="3">
        <v>107468.58</v>
      </c>
    </row>
    <row r="3488" spans="1:5" x14ac:dyDescent="0.25">
      <c r="A3488" s="3" t="s">
        <v>5</v>
      </c>
      <c r="B3488" s="3" t="s">
        <v>806</v>
      </c>
      <c r="C3488" s="3" t="s">
        <v>25</v>
      </c>
      <c r="D3488" s="4">
        <f>HYPERLINK("https://cao.dolgi.msk.ru/account/1060448856/", 1060448856)</f>
        <v>1060448856</v>
      </c>
      <c r="E3488" s="3">
        <v>8097.1</v>
      </c>
    </row>
    <row r="3489" spans="1:5" x14ac:dyDescent="0.25">
      <c r="A3489" s="3" t="s">
        <v>5</v>
      </c>
      <c r="B3489" s="3" t="s">
        <v>806</v>
      </c>
      <c r="C3489" s="3" t="s">
        <v>29</v>
      </c>
      <c r="D3489" s="4">
        <f>HYPERLINK("https://cao.dolgi.msk.ru/account/1060448573/", 1060448573)</f>
        <v>1060448573</v>
      </c>
      <c r="E3489" s="3">
        <v>2251.64</v>
      </c>
    </row>
    <row r="3490" spans="1:5" x14ac:dyDescent="0.25">
      <c r="A3490" s="3" t="s">
        <v>5</v>
      </c>
      <c r="B3490" s="3" t="s">
        <v>806</v>
      </c>
      <c r="C3490" s="3" t="s">
        <v>29</v>
      </c>
      <c r="D3490" s="4">
        <f>HYPERLINK("https://cao.dolgi.msk.ru/account/1060888616/", 1060888616)</f>
        <v>1060888616</v>
      </c>
      <c r="E3490" s="3">
        <v>1385.82</v>
      </c>
    </row>
    <row r="3491" spans="1:5" x14ac:dyDescent="0.25">
      <c r="A3491" s="3" t="s">
        <v>5</v>
      </c>
      <c r="B3491" s="3" t="s">
        <v>806</v>
      </c>
      <c r="C3491" s="3" t="s">
        <v>29</v>
      </c>
      <c r="D3491" s="4">
        <f>HYPERLINK("https://cao.dolgi.msk.ru/account/1060888624/", 1060888624)</f>
        <v>1060888624</v>
      </c>
      <c r="E3491" s="3">
        <v>4412.53</v>
      </c>
    </row>
    <row r="3492" spans="1:5" x14ac:dyDescent="0.25">
      <c r="A3492" s="3" t="s">
        <v>5</v>
      </c>
      <c r="B3492" s="3" t="s">
        <v>806</v>
      </c>
      <c r="C3492" s="3" t="s">
        <v>29</v>
      </c>
      <c r="D3492" s="4">
        <f>HYPERLINK("https://cao.dolgi.msk.ru/account/1060888632/", 1060888632)</f>
        <v>1060888632</v>
      </c>
      <c r="E3492" s="3">
        <v>3909.09</v>
      </c>
    </row>
    <row r="3493" spans="1:5" x14ac:dyDescent="0.25">
      <c r="A3493" s="3" t="s">
        <v>5</v>
      </c>
      <c r="B3493" s="3" t="s">
        <v>806</v>
      </c>
      <c r="C3493" s="3" t="s">
        <v>32</v>
      </c>
      <c r="D3493" s="4">
        <f>HYPERLINK("https://cao.dolgi.msk.ru/account/1060448207/", 1060448207)</f>
        <v>1060448207</v>
      </c>
      <c r="E3493" s="3">
        <v>27020.12</v>
      </c>
    </row>
    <row r="3494" spans="1:5" x14ac:dyDescent="0.25">
      <c r="A3494" s="3" t="s">
        <v>5</v>
      </c>
      <c r="B3494" s="3" t="s">
        <v>806</v>
      </c>
      <c r="C3494" s="3" t="s">
        <v>48</v>
      </c>
      <c r="D3494" s="4">
        <f>HYPERLINK("https://cao.dolgi.msk.ru/account/1060449007/", 1060449007)</f>
        <v>1060449007</v>
      </c>
      <c r="E3494" s="3">
        <v>8535.41</v>
      </c>
    </row>
    <row r="3495" spans="1:5" x14ac:dyDescent="0.25">
      <c r="A3495" s="3" t="s">
        <v>5</v>
      </c>
      <c r="B3495" s="3" t="s">
        <v>807</v>
      </c>
      <c r="C3495" s="3" t="s">
        <v>21</v>
      </c>
      <c r="D3495" s="4">
        <f>HYPERLINK("https://cao.dolgi.msk.ru/account/1060617824/", 1060617824)</f>
        <v>1060617824</v>
      </c>
      <c r="E3495" s="3">
        <v>247190.35</v>
      </c>
    </row>
    <row r="3496" spans="1:5" x14ac:dyDescent="0.25">
      <c r="A3496" s="3" t="s">
        <v>5</v>
      </c>
      <c r="B3496" s="3" t="s">
        <v>808</v>
      </c>
      <c r="C3496" s="3" t="s">
        <v>8</v>
      </c>
      <c r="D3496" s="4">
        <f>HYPERLINK("https://cao.dolgi.msk.ru/account/1060061985/", 1060061985)</f>
        <v>1060061985</v>
      </c>
      <c r="E3496" s="3">
        <v>12534.89</v>
      </c>
    </row>
    <row r="3497" spans="1:5" x14ac:dyDescent="0.25">
      <c r="A3497" s="3" t="s">
        <v>5</v>
      </c>
      <c r="B3497" s="3" t="s">
        <v>808</v>
      </c>
      <c r="C3497" s="3" t="s">
        <v>105</v>
      </c>
      <c r="D3497" s="4">
        <f>HYPERLINK("https://cao.dolgi.msk.ru/account/1060062056/", 1060062056)</f>
        <v>1060062056</v>
      </c>
      <c r="E3497" s="3">
        <v>7539.82</v>
      </c>
    </row>
    <row r="3498" spans="1:5" x14ac:dyDescent="0.25">
      <c r="A3498" s="3" t="s">
        <v>5</v>
      </c>
      <c r="B3498" s="3" t="s">
        <v>808</v>
      </c>
      <c r="C3498" s="3" t="s">
        <v>132</v>
      </c>
      <c r="D3498" s="4">
        <f>HYPERLINK("https://cao.dolgi.msk.ru/account/1060062064/", 1060062064)</f>
        <v>1060062064</v>
      </c>
      <c r="E3498" s="3">
        <v>6273.96</v>
      </c>
    </row>
    <row r="3499" spans="1:5" x14ac:dyDescent="0.25">
      <c r="A3499" s="3" t="s">
        <v>5</v>
      </c>
      <c r="B3499" s="3" t="s">
        <v>808</v>
      </c>
      <c r="C3499" s="3" t="s">
        <v>137</v>
      </c>
      <c r="D3499" s="4">
        <f>HYPERLINK("https://cao.dolgi.msk.ru/account/1060062136/", 1060062136)</f>
        <v>1060062136</v>
      </c>
      <c r="E3499" s="3">
        <v>17353.64</v>
      </c>
    </row>
    <row r="3500" spans="1:5" x14ac:dyDescent="0.25">
      <c r="A3500" s="3" t="s">
        <v>5</v>
      </c>
      <c r="B3500" s="3" t="s">
        <v>808</v>
      </c>
      <c r="C3500" s="3" t="s">
        <v>140</v>
      </c>
      <c r="D3500" s="4">
        <f>HYPERLINK("https://cao.dolgi.msk.ru/account/1060062179/", 1060062179)</f>
        <v>1060062179</v>
      </c>
      <c r="E3500" s="3">
        <v>6382.09</v>
      </c>
    </row>
    <row r="3501" spans="1:5" x14ac:dyDescent="0.25">
      <c r="A3501" s="3" t="s">
        <v>5</v>
      </c>
      <c r="B3501" s="3" t="s">
        <v>808</v>
      </c>
      <c r="C3501" s="3" t="s">
        <v>15</v>
      </c>
      <c r="D3501" s="4">
        <f>HYPERLINK("https://cao.dolgi.msk.ru/account/1060062283/", 1060062283)</f>
        <v>1060062283</v>
      </c>
      <c r="E3501" s="3">
        <v>6260.64</v>
      </c>
    </row>
    <row r="3502" spans="1:5" x14ac:dyDescent="0.25">
      <c r="A3502" s="3" t="s">
        <v>5</v>
      </c>
      <c r="B3502" s="3" t="s">
        <v>808</v>
      </c>
      <c r="C3502" s="3" t="s">
        <v>49</v>
      </c>
      <c r="D3502" s="4">
        <f>HYPERLINK("https://cao.dolgi.msk.ru/account/1060062697/", 1060062697)</f>
        <v>1060062697</v>
      </c>
      <c r="E3502" s="3">
        <v>4924.2</v>
      </c>
    </row>
    <row r="3503" spans="1:5" x14ac:dyDescent="0.25">
      <c r="A3503" s="3" t="s">
        <v>5</v>
      </c>
      <c r="B3503" s="3" t="s">
        <v>808</v>
      </c>
      <c r="C3503" s="3" t="s">
        <v>50</v>
      </c>
      <c r="D3503" s="4">
        <f>HYPERLINK("https://cao.dolgi.msk.ru/account/1060062718/", 1060062718)</f>
        <v>1060062718</v>
      </c>
      <c r="E3503" s="3">
        <v>21413.29</v>
      </c>
    </row>
    <row r="3504" spans="1:5" x14ac:dyDescent="0.25">
      <c r="A3504" s="3" t="s">
        <v>5</v>
      </c>
      <c r="B3504" s="3" t="s">
        <v>809</v>
      </c>
      <c r="C3504" s="3" t="s">
        <v>76</v>
      </c>
      <c r="D3504" s="4">
        <f>HYPERLINK("https://cao.dolgi.msk.ru/account/1060824225/", 1060824225)</f>
        <v>1060824225</v>
      </c>
      <c r="E3504" s="3">
        <v>33792.230000000003</v>
      </c>
    </row>
    <row r="3505" spans="1:5" x14ac:dyDescent="0.25">
      <c r="A3505" s="3" t="s">
        <v>5</v>
      </c>
      <c r="B3505" s="3" t="s">
        <v>809</v>
      </c>
      <c r="C3505" s="3" t="s">
        <v>88</v>
      </c>
      <c r="D3505" s="4">
        <f>HYPERLINK("https://cao.dolgi.msk.ru/account/1060063091/", 1060063091)</f>
        <v>1060063091</v>
      </c>
      <c r="E3505" s="3">
        <v>43984.65</v>
      </c>
    </row>
    <row r="3506" spans="1:5" x14ac:dyDescent="0.25">
      <c r="A3506" s="3" t="s">
        <v>5</v>
      </c>
      <c r="B3506" s="3" t="s">
        <v>809</v>
      </c>
      <c r="C3506" s="3" t="s">
        <v>98</v>
      </c>
      <c r="D3506" s="4">
        <f>HYPERLINK("https://cao.dolgi.msk.ru/account/1060063227/", 1060063227)</f>
        <v>1060063227</v>
      </c>
      <c r="E3506" s="3">
        <v>5534.91</v>
      </c>
    </row>
    <row r="3507" spans="1:5" x14ac:dyDescent="0.25">
      <c r="A3507" s="3" t="s">
        <v>5</v>
      </c>
      <c r="B3507" s="3" t="s">
        <v>809</v>
      </c>
      <c r="C3507" s="3" t="s">
        <v>148</v>
      </c>
      <c r="D3507" s="4">
        <f>HYPERLINK("https://cao.dolgi.msk.ru/account/1060063323/", 1060063323)</f>
        <v>1060063323</v>
      </c>
      <c r="E3507" s="3">
        <v>6285.8</v>
      </c>
    </row>
    <row r="3508" spans="1:5" x14ac:dyDescent="0.25">
      <c r="A3508" s="3" t="s">
        <v>5</v>
      </c>
      <c r="B3508" s="3" t="s">
        <v>809</v>
      </c>
      <c r="C3508" s="3" t="s">
        <v>158</v>
      </c>
      <c r="D3508" s="4">
        <f>HYPERLINK("https://cao.dolgi.msk.ru/account/1060063606/", 1060063606)</f>
        <v>1060063606</v>
      </c>
      <c r="E3508" s="3">
        <v>33781.769999999997</v>
      </c>
    </row>
    <row r="3509" spans="1:5" x14ac:dyDescent="0.25">
      <c r="A3509" s="3" t="s">
        <v>5</v>
      </c>
      <c r="B3509" s="3" t="s">
        <v>809</v>
      </c>
      <c r="C3509" s="3" t="s">
        <v>163</v>
      </c>
      <c r="D3509" s="4">
        <f>HYPERLINK("https://cao.dolgi.msk.ru/account/1060063665/", 1060063665)</f>
        <v>1060063665</v>
      </c>
      <c r="E3509" s="3">
        <v>4908.29</v>
      </c>
    </row>
  </sheetData>
  <autoFilter ref="A1:E350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2021-04-29T11:47:42Z</dcterms:created>
  <dcterms:modified xsi:type="dcterms:W3CDTF">2021-04-29T12:05:30Z</dcterms:modified>
</cp:coreProperties>
</file>